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20"/>
  <workbookPr/>
  <mc:AlternateContent xmlns:mc="http://schemas.openxmlformats.org/markup-compatibility/2006">
    <mc:Choice Requires="x15">
      <x15ac:absPath xmlns:x15ac="http://schemas.microsoft.com/office/spreadsheetml/2010/11/ac" url="/Users/tristanmassicotte/Desktop/internship-2027/companies/zoox/model/"/>
    </mc:Choice>
  </mc:AlternateContent>
  <xr:revisionPtr revIDLastSave="0" documentId="13_ncr:1_{96299C70-E11F-024D-AA65-6C2668F4CCEF}" xr6:coauthVersionLast="47" xr6:coauthVersionMax="47" xr10:uidLastSave="{00000000-0000-0000-0000-000000000000}"/>
  <bookViews>
    <workbookView xWindow="0" yWindow="600" windowWidth="28800" windowHeight="16240" xr2:uid="{00000000-000D-0000-FFFF-FFFF00000000}"/>
  </bookViews>
  <sheets>
    <sheet name="README" sheetId="1" r:id="rId1"/>
    <sheet name="Inputs" sheetId="2" r:id="rId2"/>
    <sheet name="Build vs Deploy" sheetId="3" r:id="rId3"/>
    <sheet name="Line and Material"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6" i="4" l="1"/>
  <c r="B15" i="4"/>
  <c r="B14" i="4"/>
  <c r="B12" i="4"/>
  <c r="B9" i="4"/>
  <c r="D81" i="3"/>
  <c r="D80" i="3"/>
  <c r="D79" i="3"/>
  <c r="D78" i="3"/>
  <c r="D77" i="3"/>
  <c r="D76" i="3"/>
  <c r="I76" i="3" s="1"/>
  <c r="D75" i="3"/>
  <c r="D74" i="3"/>
  <c r="D73" i="3"/>
  <c r="D72" i="3"/>
  <c r="D71" i="3"/>
  <c r="D70" i="3"/>
  <c r="D69" i="3"/>
  <c r="D68" i="3"/>
  <c r="D67" i="3"/>
  <c r="D66" i="3"/>
  <c r="D65" i="3"/>
  <c r="D64" i="3"/>
  <c r="D63" i="3"/>
  <c r="D62" i="3"/>
  <c r="D61" i="3"/>
  <c r="I61" i="3" s="1"/>
  <c r="D60" i="3"/>
  <c r="D59" i="3"/>
  <c r="D58" i="3"/>
  <c r="D57" i="3"/>
  <c r="D56" i="3"/>
  <c r="D55" i="3"/>
  <c r="D54" i="3"/>
  <c r="D53" i="3"/>
  <c r="D52" i="3"/>
  <c r="D51" i="3"/>
  <c r="D50" i="3"/>
  <c r="D49" i="3"/>
  <c r="D48" i="3"/>
  <c r="D47" i="3"/>
  <c r="D46" i="3"/>
  <c r="D45" i="3"/>
  <c r="D44" i="3"/>
  <c r="D43" i="3"/>
  <c r="D42" i="3"/>
  <c r="D41" i="3"/>
  <c r="D40" i="3"/>
  <c r="D39" i="3"/>
  <c r="D38" i="3"/>
  <c r="D37" i="3"/>
  <c r="D36" i="3"/>
  <c r="D35" i="3"/>
  <c r="D34" i="3"/>
  <c r="D33" i="3"/>
  <c r="D32" i="3"/>
  <c r="D31" i="3"/>
  <c r="D30" i="3"/>
  <c r="C20" i="3"/>
  <c r="C19" i="3"/>
  <c r="D17" i="3"/>
  <c r="D16" i="3"/>
  <c r="D15" i="3"/>
  <c r="D14" i="3"/>
  <c r="D13" i="3"/>
  <c r="D12" i="3"/>
  <c r="D11" i="3"/>
  <c r="D10" i="3"/>
  <c r="B17" i="2"/>
  <c r="B16" i="2"/>
  <c r="B15" i="2"/>
  <c r="B14" i="2"/>
  <c r="B13" i="4" s="1"/>
  <c r="B13" i="2"/>
  <c r="B12" i="2"/>
  <c r="C16" i="4" l="1"/>
  <c r="D16" i="4" s="1"/>
  <c r="E16" i="4"/>
  <c r="E15" i="4"/>
  <c r="C15" i="4"/>
  <c r="D15" i="4" s="1"/>
  <c r="E14" i="4"/>
  <c r="C14" i="4"/>
  <c r="D14" i="4" s="1"/>
  <c r="E12" i="4"/>
  <c r="C12" i="4"/>
  <c r="D12" i="4" s="1"/>
  <c r="I81" i="3"/>
  <c r="I80" i="3"/>
  <c r="I79" i="3"/>
  <c r="I78" i="3"/>
  <c r="I77" i="3"/>
  <c r="I75" i="3"/>
  <c r="I74" i="3"/>
  <c r="I73" i="3"/>
  <c r="I72" i="3"/>
  <c r="I71" i="3"/>
  <c r="I70" i="3"/>
  <c r="I69" i="3"/>
  <c r="I68" i="3"/>
  <c r="I67" i="3"/>
  <c r="I66" i="3"/>
  <c r="I65" i="3"/>
  <c r="I64" i="3"/>
  <c r="I63" i="3"/>
  <c r="I62" i="3"/>
  <c r="I60" i="3"/>
  <c r="I59" i="3"/>
  <c r="I58" i="3"/>
  <c r="I57" i="3"/>
  <c r="I56" i="3"/>
  <c r="I55" i="3"/>
  <c r="I54" i="3"/>
  <c r="I53" i="3"/>
  <c r="I52" i="3"/>
  <c r="I51" i="3"/>
  <c r="I50" i="3"/>
  <c r="I49" i="3"/>
  <c r="I48" i="3"/>
  <c r="I47" i="3"/>
  <c r="I46" i="3"/>
  <c r="I45" i="3"/>
  <c r="I44" i="3"/>
  <c r="I43" i="3"/>
  <c r="I42" i="3"/>
  <c r="I41" i="3"/>
  <c r="I40" i="3"/>
  <c r="I39" i="3"/>
  <c r="I38" i="3"/>
  <c r="I37" i="3"/>
  <c r="I36" i="3"/>
  <c r="I35" i="3"/>
  <c r="I34" i="3"/>
  <c r="I33" i="3"/>
  <c r="I32" i="3"/>
  <c r="I31" i="3"/>
  <c r="I30" i="3"/>
  <c r="B30" i="3"/>
  <c r="C30" i="3" s="1"/>
  <c r="F30" i="3" s="1"/>
  <c r="B31" i="3"/>
  <c r="G35" i="3"/>
  <c r="G31" i="3"/>
  <c r="G44" i="3"/>
  <c r="G38" i="3"/>
  <c r="G40" i="3"/>
  <c r="G42" i="3"/>
  <c r="G36" i="3"/>
  <c r="G60" i="3"/>
  <c r="G51" i="3"/>
  <c r="G46" i="3"/>
  <c r="G30" i="3"/>
  <c r="G59" i="3"/>
  <c r="G55" i="3"/>
  <c r="G47" i="3"/>
  <c r="G61" i="3"/>
  <c r="G58" i="3"/>
  <c r="G63" i="3"/>
  <c r="G76" i="3"/>
  <c r="G50" i="3"/>
  <c r="G57" i="3"/>
  <c r="G70" i="3"/>
  <c r="G75" i="3"/>
  <c r="G54" i="3"/>
  <c r="G56" i="3"/>
  <c r="G71" i="3"/>
  <c r="G62" i="3"/>
  <c r="G74" i="3"/>
  <c r="G53" i="3"/>
  <c r="G72" i="3"/>
  <c r="G52" i="3"/>
  <c r="G64" i="3"/>
  <c r="G77" i="3"/>
  <c r="G48" i="3"/>
  <c r="G73" i="3"/>
  <c r="G45" i="3"/>
  <c r="G78" i="3"/>
  <c r="G65" i="3"/>
  <c r="G69" i="3"/>
  <c r="G41" i="3"/>
  <c r="G79" i="3"/>
  <c r="G66" i="3"/>
  <c r="G67" i="3"/>
  <c r="G80" i="3"/>
  <c r="G37" i="3"/>
  <c r="G49" i="3"/>
  <c r="G81" i="3"/>
  <c r="G33" i="3"/>
  <c r="G39" i="3"/>
  <c r="G32" i="3"/>
  <c r="G68" i="3"/>
  <c r="G43" i="3"/>
  <c r="G34" i="3"/>
  <c r="C13" i="4"/>
  <c r="D13" i="4" s="1"/>
  <c r="E13" i="4"/>
  <c r="E30" i="3" l="1"/>
  <c r="H30" i="3"/>
  <c r="C31" i="3"/>
  <c r="C21" i="3"/>
  <c r="B32" i="3" l="1"/>
  <c r="C32" i="3" s="1"/>
  <c r="F31" i="3"/>
  <c r="H31" i="3"/>
  <c r="E31" i="3"/>
  <c r="B33" i="3" l="1"/>
  <c r="C33" i="3" s="1"/>
  <c r="F32" i="3"/>
  <c r="H32" i="3"/>
  <c r="E32" i="3"/>
  <c r="B34" i="3" l="1"/>
  <c r="C34" i="3" s="1"/>
  <c r="F33" i="3"/>
  <c r="E33" i="3"/>
  <c r="H33" i="3"/>
  <c r="B35" i="3" l="1"/>
  <c r="C35" i="3" s="1"/>
  <c r="F34" i="3"/>
  <c r="H34" i="3"/>
  <c r="E34" i="3"/>
  <c r="B36" i="3" l="1"/>
  <c r="F35" i="3"/>
  <c r="H35" i="3"/>
  <c r="C36" i="3"/>
  <c r="E35" i="3"/>
  <c r="B37" i="3" l="1"/>
  <c r="F36" i="3"/>
  <c r="H36" i="3"/>
  <c r="C37" i="3"/>
  <c r="E36" i="3"/>
  <c r="B38" i="3" l="1"/>
  <c r="C38" i="3" s="1"/>
  <c r="F37" i="3"/>
  <c r="H37" i="3"/>
  <c r="E37" i="3"/>
  <c r="B39" i="3" l="1"/>
  <c r="F38" i="3"/>
  <c r="H38" i="3"/>
  <c r="C39" i="3"/>
  <c r="E38" i="3"/>
  <c r="B40" i="3" l="1"/>
  <c r="F39" i="3"/>
  <c r="E39" i="3"/>
  <c r="H39" i="3"/>
  <c r="C40" i="3"/>
  <c r="B41" i="3" l="1"/>
  <c r="F40" i="3"/>
  <c r="H40" i="3"/>
  <c r="C41" i="3"/>
  <c r="E40" i="3"/>
  <c r="B42" i="3" l="1"/>
  <c r="F41" i="3"/>
  <c r="H41" i="3"/>
  <c r="C42" i="3"/>
  <c r="E41" i="3"/>
  <c r="B43" i="3" l="1"/>
  <c r="C43" i="3" s="1"/>
  <c r="F42" i="3"/>
  <c r="E42" i="3"/>
  <c r="H42" i="3"/>
  <c r="B44" i="3" l="1"/>
  <c r="C44" i="3" s="1"/>
  <c r="F43" i="3"/>
  <c r="H43" i="3"/>
  <c r="E43" i="3"/>
  <c r="B45" i="3" l="1"/>
  <c r="C45" i="3" s="1"/>
  <c r="F44" i="3"/>
  <c r="H44" i="3"/>
  <c r="E44" i="3"/>
  <c r="B46" i="3" l="1"/>
  <c r="C46" i="3" s="1"/>
  <c r="F45" i="3"/>
  <c r="E45" i="3"/>
  <c r="H45" i="3"/>
  <c r="B47" i="3" l="1"/>
  <c r="C47" i="3" s="1"/>
  <c r="F46" i="3"/>
  <c r="H46" i="3"/>
  <c r="E46" i="3"/>
  <c r="B48" i="3" l="1"/>
  <c r="C48" i="3" s="1"/>
  <c r="F47" i="3"/>
  <c r="E47" i="3"/>
  <c r="H47" i="3"/>
  <c r="B49" i="3" l="1"/>
  <c r="C49" i="3" s="1"/>
  <c r="F48" i="3"/>
  <c r="E48" i="3"/>
  <c r="H48" i="3"/>
  <c r="B50" i="3" l="1"/>
  <c r="C50" i="3" s="1"/>
  <c r="F49" i="3"/>
  <c r="E49" i="3"/>
  <c r="H49" i="3"/>
  <c r="B51" i="3" l="1"/>
  <c r="C51" i="3" s="1"/>
  <c r="F50" i="3"/>
  <c r="E50" i="3"/>
  <c r="H50" i="3"/>
  <c r="B52" i="3" l="1"/>
  <c r="C52" i="3" s="1"/>
  <c r="F51" i="3"/>
  <c r="H51" i="3"/>
  <c r="E51" i="3"/>
  <c r="B53" i="3" l="1"/>
  <c r="C53" i="3" s="1"/>
  <c r="F52" i="3"/>
  <c r="E52" i="3"/>
  <c r="H52" i="3"/>
  <c r="B54" i="3" l="1"/>
  <c r="C54" i="3" s="1"/>
  <c r="F53" i="3"/>
  <c r="H53" i="3"/>
  <c r="E53" i="3"/>
  <c r="B55" i="3" l="1"/>
  <c r="C55" i="3" s="1"/>
  <c r="F54" i="3"/>
  <c r="E54" i="3"/>
  <c r="H54" i="3"/>
  <c r="B56" i="3" l="1"/>
  <c r="C56" i="3" s="1"/>
  <c r="F55" i="3"/>
  <c r="E55" i="3"/>
  <c r="H55" i="3"/>
  <c r="B57" i="3" l="1"/>
  <c r="C57" i="3" s="1"/>
  <c r="F56" i="3"/>
  <c r="E56" i="3"/>
  <c r="H56" i="3"/>
  <c r="B58" i="3" l="1"/>
  <c r="C58" i="3" s="1"/>
  <c r="F57" i="3"/>
  <c r="E57" i="3"/>
  <c r="H57" i="3"/>
  <c r="B59" i="3" l="1"/>
  <c r="C59" i="3" s="1"/>
  <c r="F58" i="3"/>
  <c r="E58" i="3"/>
  <c r="H58" i="3"/>
  <c r="B60" i="3" l="1"/>
  <c r="C60" i="3" s="1"/>
  <c r="F59" i="3"/>
  <c r="E59" i="3"/>
  <c r="H59" i="3"/>
  <c r="B61" i="3" l="1"/>
  <c r="C61" i="3" s="1"/>
  <c r="F60" i="3"/>
  <c r="E60" i="3"/>
  <c r="H60" i="3"/>
  <c r="B62" i="3" l="1"/>
  <c r="F61" i="3"/>
  <c r="C62" i="3"/>
  <c r="E61" i="3"/>
  <c r="H61" i="3"/>
  <c r="B63" i="3" l="1"/>
  <c r="C63" i="3" s="1"/>
  <c r="F62" i="3"/>
  <c r="E62" i="3"/>
  <c r="H62" i="3"/>
  <c r="B64" i="3" l="1"/>
  <c r="C64" i="3" s="1"/>
  <c r="F63" i="3"/>
  <c r="E63" i="3"/>
  <c r="H63" i="3"/>
  <c r="B65" i="3" l="1"/>
  <c r="F64" i="3"/>
  <c r="E64" i="3"/>
  <c r="H64" i="3"/>
  <c r="C65" i="3"/>
  <c r="B66" i="3" l="1"/>
  <c r="F65" i="3"/>
  <c r="E65" i="3"/>
  <c r="H65" i="3"/>
  <c r="C66" i="3"/>
  <c r="B67" i="3" l="1"/>
  <c r="F66" i="3"/>
  <c r="E66" i="3"/>
  <c r="H66" i="3"/>
  <c r="C67" i="3"/>
  <c r="B68" i="3" l="1"/>
  <c r="F67" i="3"/>
  <c r="E67" i="3"/>
  <c r="H67" i="3"/>
  <c r="C68" i="3"/>
  <c r="B69" i="3" l="1"/>
  <c r="C69" i="3" s="1"/>
  <c r="F68" i="3"/>
  <c r="E68" i="3"/>
  <c r="H68" i="3"/>
  <c r="B70" i="3" l="1"/>
  <c r="C70" i="3" s="1"/>
  <c r="F69" i="3"/>
  <c r="E69" i="3"/>
  <c r="H69" i="3"/>
  <c r="B71" i="3" l="1"/>
  <c r="C71" i="3" s="1"/>
  <c r="F70" i="3"/>
  <c r="E70" i="3"/>
  <c r="H70" i="3"/>
  <c r="B72" i="3" l="1"/>
  <c r="C72" i="3" s="1"/>
  <c r="F71" i="3"/>
  <c r="H71" i="3"/>
  <c r="E71" i="3"/>
  <c r="B73" i="3" l="1"/>
  <c r="F72" i="3"/>
  <c r="E72" i="3"/>
  <c r="H72" i="3"/>
  <c r="C73" i="3"/>
  <c r="B74" i="3" l="1"/>
  <c r="C74" i="3" s="1"/>
  <c r="F73" i="3"/>
  <c r="E73" i="3"/>
  <c r="H73" i="3"/>
  <c r="B75" i="3" l="1"/>
  <c r="C75" i="3" s="1"/>
  <c r="F74" i="3"/>
  <c r="E74" i="3"/>
  <c r="H74" i="3"/>
  <c r="B76" i="3" l="1"/>
  <c r="F75" i="3"/>
  <c r="E75" i="3"/>
  <c r="H75" i="3"/>
  <c r="C76" i="3"/>
  <c r="B77" i="3" l="1"/>
  <c r="F76" i="3"/>
  <c r="E76" i="3"/>
  <c r="H76" i="3"/>
  <c r="C77" i="3"/>
  <c r="B78" i="3" l="1"/>
  <c r="C78" i="3" s="1"/>
  <c r="F77" i="3"/>
  <c r="E77" i="3"/>
  <c r="H77" i="3"/>
  <c r="B79" i="3" l="1"/>
  <c r="C79" i="3" s="1"/>
  <c r="F78" i="3"/>
  <c r="E78" i="3"/>
  <c r="H78" i="3"/>
  <c r="B80" i="3" l="1"/>
  <c r="C80" i="3" s="1"/>
  <c r="F79" i="3"/>
  <c r="E79" i="3"/>
  <c r="H79" i="3"/>
  <c r="B81" i="3" l="1"/>
  <c r="C81" i="3" s="1"/>
  <c r="F80" i="3"/>
  <c r="E80" i="3"/>
  <c r="H80" i="3"/>
  <c r="F81" i="3" l="1"/>
  <c r="C25" i="3" s="1"/>
  <c r="E81" i="3"/>
  <c r="C22" i="3" s="1"/>
  <c r="H81" i="3"/>
  <c r="C23" i="3" s="1"/>
  <c r="C24" i="3" s="1"/>
</calcChain>
</file>

<file path=xl/sharedStrings.xml><?xml version="1.0" encoding="utf-8"?>
<sst xmlns="http://schemas.openxmlformats.org/spreadsheetml/2006/main" count="137" uniqueCount="123">
  <si>
    <t>One week: matching what Hayward builds with when cities open</t>
  </si>
  <si>
    <t>Tristan Massicotte, U of T Industrial Engineering, November 2026. Built from public information only; there is no Zoox internal data in here.</t>
  </si>
  <si>
    <t>What it does</t>
  </si>
  <si>
    <t>I built this to see what happens when a plant that can build 100 robotaxis a week meets a city launch calendar: how many finished robotaxis wait for a launch, what a slipped launch adds, and what the line and the material on hand look like at each rate.</t>
  </si>
  <si>
    <t>What's real</t>
  </si>
  <si>
    <t>The fleet (~100), the 100-a-week rate Zoox has said Hayward can ramp to, the 10,000-a-year full scale, the ~1-a-day rate at opening and the 2,500-a-year NHTSA exemption are public. The city list is public; every launch week, every vehicle count, the build rate and the line times are my assumptions (yellow). Put your real numbers in and everything recalculates.</t>
  </si>
  <si>
    <t>Colours</t>
  </si>
  <si>
    <t>Blue = input, change it. Yellow = my assumption, replace it. Black = formula. Green = formula pulling from another tab.</t>
  </si>
  <si>
    <t>Tabs</t>
  </si>
  <si>
    <t>Inputs, Build vs Deploy, Line and Material</t>
  </si>
  <si>
    <t>Method</t>
  </si>
  <si>
    <t>Build vs Deploy runs the line at one level weekly rate until it has built what the calendar needs, and compares what it has built with what the launch calendar needs. A robotaxi counts as 'waiting' from the week it's built until its city launches. Real plans flex the rate; this shows what happens when it doesn't.</t>
  </si>
  <si>
    <t>Public sources</t>
  </si>
  <si>
    <t>About 100 custom-built robotaxis across four US cities; NHTSA exemption up to 2,500 vehicles a year for two years; paid rides in Las Vegas</t>
  </si>
  <si>
    <t>TechCrunch, Sept 17 2026 and July 30 2026</t>
  </si>
  <si>
    <t>Hayward can ramp to 100 vehicles a week (subject to regulatory approval); the redesigned robotaxi is the production version</t>
  </si>
  <si>
    <t>The Robot Report, Aug 4 2026; Automotive World, July 1 2026</t>
  </si>
  <si>
    <t>Hayward: 220,000 sq ft; ~1 robotaxi a day at opening; 10,000 a year at full scale, ~3 an hour</t>
  </si>
  <si>
    <t>CNBC, June 18 2025 and June 24 2026</t>
  </si>
  <si>
    <t>'Takes 20 minutes to assemble a vehicle' (vs 1–2 minutes on a typical car line)</t>
  </si>
  <si>
    <t>The Robot Report, Sept 5 2025</t>
  </si>
  <si>
    <t>Cities: Las Vegas, San Francisco, Austin, Miami; Dallas and Phoenix coming; Los Angeles on Uber by mid-2027</t>
  </si>
  <si>
    <t>CNBC, June 24 2026; The Robot Report, Aug 4 2026; Quartz, March 11 2026</t>
  </si>
  <si>
    <t>New &gt;350,000 sq ft lease next to the plant to scale production; 34,000 sq ft logistics and staging facility</t>
  </si>
  <si>
    <t>The Real Deal (citing the SF Chronicle), Oct 16 2026</t>
  </si>
  <si>
    <t>S&amp;OP role 'that aligns fleet demand with manufacturing'; service parts planning for 'zero downtime'</t>
  </si>
  <si>
    <t>Zoox job postings, Logistics, Hayward (Oct 2026)</t>
  </si>
  <si>
    <t>Inputs</t>
  </si>
  <si>
    <t>Blue cells are public numbers; yellow cells are my guesses. Replace either with real numbers.</t>
  </si>
  <si>
    <t>Parameter</t>
  </si>
  <si>
    <t>Value</t>
  </si>
  <si>
    <t>Unit</t>
  </si>
  <si>
    <t>Where it comes from</t>
  </si>
  <si>
    <t>Robotaxis in the fleet (Sept 2026)</t>
  </si>
  <si>
    <t>robotaxis</t>
  </si>
  <si>
    <t>'about 100 custom-built robotaxis' (TechCrunch, Sept 17 2026)</t>
  </si>
  <si>
    <t>Weekly rate Zoox has said Hayward can ramp to</t>
  </si>
  <si>
    <t>per week</t>
  </si>
  <si>
    <t>Subject to regulatory approval (Robot Report, Aug 2026)</t>
  </si>
  <si>
    <t>Hayward at full scale</t>
  </si>
  <si>
    <t>per year</t>
  </si>
  <si>
    <t>CNBC, June 2025 and June 2026</t>
  </si>
  <si>
    <t>NHTSA exemption: commercial vehicles</t>
  </si>
  <si>
    <t>For two years (TechCrunch, July 30 2026)</t>
  </si>
  <si>
    <t>Rate at opening (June 2025)</t>
  </si>
  <si>
    <t>per day</t>
  </si>
  <si>
    <t>'roughly one robotaxi every day' (CNBC, June 2025)</t>
  </si>
  <si>
    <t>Production days per week</t>
  </si>
  <si>
    <t>days</t>
  </si>
  <si>
    <t>My assumption</t>
  </si>
  <si>
    <t>Weeks of output that equal today's whole fleet</t>
  </si>
  <si>
    <t>weeks</t>
  </si>
  <si>
    <t>Weeks at 100 a week to build the exemption's 2,500</t>
  </si>
  <si>
    <t>Exemption spread over 52 weeks</t>
  </si>
  <si>
    <t>Full scale vs the exemption</t>
  </si>
  <si>
    <t>Ramp from opening to 100 a week</t>
  </si>
  <si>
    <t>with production days per week</t>
  </si>
  <si>
    <t>Every week a launch slips at 100 a week</t>
  </si>
  <si>
    <t>more robotaxis waiting, unless the rate flexes</t>
  </si>
  <si>
    <t>Build vs deploy: one level build rate against a lumpy launch calendar</t>
  </si>
  <si>
    <t>Week 1 = Nov 2 2026. A robotaxi 'waits' from the week it's built until its city launches. Every launch week and vehicle count is my assumption.</t>
  </si>
  <si>
    <t>Level build rate (robotaxis a week)</t>
  </si>
  <si>
    <t>Weeks from build to launch (ship, set up)</t>
  </si>
  <si>
    <t>City whose launch slips</t>
  </si>
  <si>
    <t>Los Angeles</t>
  </si>
  <si>
    <t>Slip (weeks)</t>
  </si>
  <si>
    <t>City (public)</t>
  </si>
  <si>
    <t>Launch week, plan</t>
  </si>
  <si>
    <t>Robotaxis needed</t>
  </si>
  <si>
    <t>Launch week, with slip</t>
  </si>
  <si>
    <t>Note</t>
  </si>
  <si>
    <t>Las Vegas (grow the fleet)</t>
  </si>
  <si>
    <t>Paid rides since Aug 2026</t>
  </si>
  <si>
    <t>San Francisco (paid)</t>
  </si>
  <si>
    <t>Needs CPUC and DMV permits</t>
  </si>
  <si>
    <t>Austin</t>
  </si>
  <si>
    <t>Select riders today</t>
  </si>
  <si>
    <t>Miami</t>
  </si>
  <si>
    <t>Dallas</t>
  </si>
  <si>
    <t>Coming (Robot Report, Aug 2026)</t>
  </si>
  <si>
    <t>Phoenix</t>
  </si>
  <si>
    <t>On Uber by mid-2027 (week 34 = late June 2027)</t>
  </si>
  <si>
    <t>Atlanta</t>
  </si>
  <si>
    <t>Listed on zoox.com</t>
  </si>
  <si>
    <t>Robotaxis the calendar needs this year</t>
  </si>
  <si>
    <t>NHTSA exemption, per year</t>
  </si>
  <si>
    <t>Lowest level rate that meets every launch on time</t>
  </si>
  <si>
    <t>Most robotaxis waiting at once (plan)</t>
  </si>
  <si>
    <t>Most robotaxis waiting at once (with the slip)</t>
  </si>
  <si>
    <t>Extra waiting because of the slip</t>
  </si>
  <si>
    <t>Most robotaxis short at once (a launch without enough vehicles)</t>
  </si>
  <si>
    <t>Launches are lumpy and a line wants a level rate, so robotaxis wait in staging even when every launch is on time. A slip adds roughly the build rate × the weeks it slips. That's the trade-off an S&amp;OP process decides: flex the rate, or plan the parking.</t>
  </si>
  <si>
    <t>Week</t>
  </si>
  <si>
    <t>Built this week (level rate, stops at the year's total)</t>
  </si>
  <si>
    <t>Built so far</t>
  </si>
  <si>
    <t>Needed built by now (launch − lead)</t>
  </si>
  <si>
    <t>Waiting, plan</t>
  </si>
  <si>
    <t>Short, plan</t>
  </si>
  <si>
    <t>Launched so far, with slip</t>
  </si>
  <si>
    <t>Waiting, with slip</t>
  </si>
  <si>
    <t>Rate needed so far</t>
  </si>
  <si>
    <t>The line and the material behind each rate</t>
  </si>
  <si>
    <t>Line hours = robotaxis a week × minutes per robotaxi. Material on hand = robotaxis a day × days on hand. The station time is my reading of a public quote; the rest are my guesses.</t>
  </si>
  <si>
    <t>Assumption</t>
  </si>
  <si>
    <t>Minutes per robotaxi at the line's pace</t>
  </si>
  <si>
    <t>min</t>
  </si>
  <si>
    <t>My reading of 'takes 20 minutes to assemble a vehicle' (Robot Report, Sept 2025)</t>
  </si>
  <si>
    <t>Hours per shift</t>
  </si>
  <si>
    <t>h</t>
  </si>
  <si>
    <t>Line uptime</t>
  </si>
  <si>
    <t>%</t>
  </si>
  <si>
    <t>Days of production material on hand</t>
  </si>
  <si>
    <t>Hours one shift runs per week</t>
  </si>
  <si>
    <t>Rate</t>
  </si>
  <si>
    <t>Robotaxis a week</t>
  </si>
  <si>
    <t>Line hours a week</t>
  </si>
  <si>
    <t>Shifts needed</t>
  </si>
  <si>
    <t>Robotaxi sets of material on hand</t>
  </si>
  <si>
    <t>At opening (~1 a day)</t>
  </si>
  <si>
    <t>Level rate in Build vs Deploy</t>
  </si>
  <si>
    <t>Rate Zoox has said Hayward can reach</t>
  </si>
  <si>
    <t>Full scale (10,000 a year)</t>
  </si>
  <si>
    <t>At the line's pace, 100 a week is about one full shift and 10,000 a year about two. Every extra day of material on hand at 100 a week is 20 more robotaxi sets in the warehouse.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</si>
</sst>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quot;×&quot;"/>
    <numFmt numFmtId="166" formatCode="0&quot;×&quot;"/>
  </numFmts>
  <fonts count="12" x14ac:knownFonts="1">
    <font>
      <sz val="11"/>
      <color theme="1"/>
      <name val="Calibri"/>
      <family val="2"/>
      <scheme val="minor"/>
    </font>
    <font>
      <b/>
      <sz val="14"/>
      <name val="Arial"/>
      <family val="2"/>
    </font>
    <font>
      <i/>
      <sz val="9"/>
      <color rgb="FF555555"/>
      <name val="Arial"/>
      <family val="2"/>
    </font>
    <font>
      <b/>
      <sz val="11"/>
      <name val="Arial"/>
      <family val="2"/>
    </font>
    <font>
      <sz val="11"/>
      <name val="Arial"/>
      <family val="2"/>
    </font>
    <font>
      <b/>
      <sz val="11"/>
      <color rgb="FFFFFFFF"/>
      <name val="Arial"/>
      <family val="2"/>
    </font>
    <font>
      <sz val="11"/>
      <color rgb="FF0000FF"/>
      <name val="Arial"/>
      <family val="2"/>
    </font>
    <font>
      <sz val="9"/>
      <name val="Arial"/>
      <family val="2"/>
    </font>
    <font>
      <b/>
      <sz val="11"/>
      <color rgb="FF000000"/>
      <name val="Arial"/>
      <family val="2"/>
    </font>
    <font>
      <sz val="11"/>
      <color rgb="FF000000"/>
      <name val="Arial"/>
      <family val="2"/>
    </font>
    <font>
      <sz val="11"/>
      <color rgb="FF008000"/>
      <name val="Arial"/>
      <family val="2"/>
    </font>
    <font>
      <i/>
      <sz val="9"/>
      <name val="Arial"/>
      <family val="2"/>
    </font>
  </fonts>
  <fills count="4">
    <fill>
      <patternFill patternType="none"/>
    </fill>
    <fill>
      <patternFill patternType="gray125"/>
    </fill>
    <fill>
      <patternFill patternType="solid">
        <fgColor rgb="FF1F2937"/>
      </patternFill>
    </fill>
    <fill>
      <patternFill patternType="solid">
        <fgColor rgb="FFFFFF00"/>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26">
    <xf numFmtId="0" fontId="0" fillId="0" borderId="0" xfId="0"/>
    <xf numFmtId="0" fontId="1" fillId="0" borderId="0" xfId="0" applyFont="1"/>
    <xf numFmtId="0" fontId="2" fillId="0" borderId="0" xfId="0" applyFont="1"/>
    <xf numFmtId="0" fontId="3" fillId="0" borderId="0" xfId="0" applyFont="1" applyAlignment="1">
      <alignment vertical="top" wrapText="1"/>
    </xf>
    <xf numFmtId="0" fontId="4" fillId="0" borderId="0" xfId="0" applyFont="1" applyAlignment="1">
      <alignment vertical="top" wrapText="1"/>
    </xf>
    <xf numFmtId="0" fontId="5" fillId="2" borderId="1" xfId="0" applyFont="1" applyFill="1" applyBorder="1" applyAlignment="1">
      <alignment vertical="center" wrapText="1"/>
    </xf>
    <xf numFmtId="0" fontId="4" fillId="0" borderId="0" xfId="0" applyFont="1"/>
    <xf numFmtId="3" fontId="6" fillId="0" borderId="1" xfId="0" applyNumberFormat="1" applyFont="1" applyBorder="1"/>
    <xf numFmtId="0" fontId="7" fillId="0" borderId="0" xfId="0" applyFont="1" applyAlignment="1">
      <alignment wrapText="1"/>
    </xf>
    <xf numFmtId="1" fontId="6" fillId="0" borderId="1" xfId="0" applyNumberFormat="1" applyFont="1" applyBorder="1"/>
    <xf numFmtId="1" fontId="6" fillId="3" borderId="1" xfId="0" applyNumberFormat="1" applyFont="1" applyFill="1" applyBorder="1"/>
    <xf numFmtId="0" fontId="3" fillId="0" borderId="0" xfId="0" applyFont="1"/>
    <xf numFmtId="164" fontId="8" fillId="0" borderId="1" xfId="0" applyNumberFormat="1" applyFont="1" applyBorder="1"/>
    <xf numFmtId="1" fontId="8" fillId="0" borderId="1" xfId="0" applyNumberFormat="1" applyFont="1" applyBorder="1"/>
    <xf numFmtId="165" fontId="8" fillId="0" borderId="1" xfId="0" applyNumberFormat="1" applyFont="1" applyBorder="1"/>
    <xf numFmtId="166" fontId="8" fillId="0" borderId="1" xfId="0" applyNumberFormat="1" applyFont="1" applyBorder="1"/>
    <xf numFmtId="3" fontId="8" fillId="0" borderId="1" xfId="0" applyNumberFormat="1" applyFont="1" applyBorder="1"/>
    <xf numFmtId="0" fontId="6" fillId="3" borderId="1" xfId="0" applyFont="1" applyFill="1" applyBorder="1"/>
    <xf numFmtId="3" fontId="6" fillId="3" borderId="1" xfId="0" applyNumberFormat="1" applyFont="1" applyFill="1" applyBorder="1"/>
    <xf numFmtId="1" fontId="9" fillId="0" borderId="1" xfId="0" applyNumberFormat="1" applyFont="1" applyBorder="1"/>
    <xf numFmtId="0" fontId="7" fillId="0" borderId="0" xfId="0" applyFont="1"/>
    <xf numFmtId="3" fontId="10" fillId="0" borderId="1" xfId="0" applyNumberFormat="1" applyFont="1" applyBorder="1"/>
    <xf numFmtId="3" fontId="9" fillId="0" borderId="1" xfId="0" applyNumberFormat="1" applyFont="1" applyBorder="1"/>
    <xf numFmtId="0" fontId="11" fillId="0" borderId="0" xfId="0" applyFont="1"/>
    <xf numFmtId="164" fontId="9" fillId="0" borderId="1" xfId="0" applyNumberFormat="1" applyFont="1" applyBorder="1"/>
    <xf numFmtId="9" fontId="6" fillId="3" borderId="1" xfId="0" applyNumberFormat="1" applyFont="1" applyFill="1"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a:defRPr/>
            </a:pPr>
            <a:r>
              <a:t>Robotaxis built but not yet launched</a:t>
            </a:r>
          </a:p>
        </c:rich>
      </c:tx>
      <c:overlay val="1"/>
    </c:title>
    <c:autoTitleDeleted val="0"/>
    <c:plotArea>
      <c:layout/>
      <c:lineChart>
        <c:grouping val="standard"/>
        <c:varyColors val="1"/>
        <c:ser>
          <c:idx val="0"/>
          <c:order val="0"/>
          <c:tx>
            <c:strRef>
              <c:f>'Build vs Deploy'!$E$29</c:f>
              <c:strCache>
                <c:ptCount val="1"/>
                <c:pt idx="0">
                  <c:v>Waiting, plan</c:v>
                </c:pt>
              </c:strCache>
            </c:strRef>
          </c:tx>
          <c:spPr>
            <a:ln>
              <a:prstDash val="solid"/>
            </a:ln>
          </c:spPr>
          <c:marker>
            <c:symbol val="none"/>
          </c:marker>
          <c:cat>
            <c:numRef>
              <c:f>'Build vs Deploy'!$A$30:$A$81</c:f>
              <c:numCache>
                <c:formatCode>0</c:formatCode>
                <c:ptCount val="52"/>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numCache>
            </c:numRef>
          </c:cat>
          <c:val>
            <c:numRef>
              <c:f>'Build vs Deploy'!$E$30:$E$81</c:f>
              <c:numCache>
                <c:formatCode>#,##0</c:formatCode>
                <c:ptCount val="52"/>
                <c:pt idx="0">
                  <c:v>60</c:v>
                </c:pt>
                <c:pt idx="1">
                  <c:v>120</c:v>
                </c:pt>
                <c:pt idx="2">
                  <c:v>180</c:v>
                </c:pt>
                <c:pt idx="3">
                  <c:v>240</c:v>
                </c:pt>
                <c:pt idx="4">
                  <c:v>300</c:v>
                </c:pt>
                <c:pt idx="5">
                  <c:v>210</c:v>
                </c:pt>
                <c:pt idx="6">
                  <c:v>270</c:v>
                </c:pt>
                <c:pt idx="7">
                  <c:v>330</c:v>
                </c:pt>
                <c:pt idx="8">
                  <c:v>390</c:v>
                </c:pt>
                <c:pt idx="9">
                  <c:v>450</c:v>
                </c:pt>
                <c:pt idx="10">
                  <c:v>510</c:v>
                </c:pt>
                <c:pt idx="11">
                  <c:v>270</c:v>
                </c:pt>
                <c:pt idx="12">
                  <c:v>330</c:v>
                </c:pt>
                <c:pt idx="13">
                  <c:v>390</c:v>
                </c:pt>
                <c:pt idx="14">
                  <c:v>450</c:v>
                </c:pt>
                <c:pt idx="15">
                  <c:v>310</c:v>
                </c:pt>
                <c:pt idx="16">
                  <c:v>370</c:v>
                </c:pt>
                <c:pt idx="17">
                  <c:v>430</c:v>
                </c:pt>
                <c:pt idx="18">
                  <c:v>490</c:v>
                </c:pt>
                <c:pt idx="19">
                  <c:v>350</c:v>
                </c:pt>
                <c:pt idx="20">
                  <c:v>410</c:v>
                </c:pt>
                <c:pt idx="21">
                  <c:v>470</c:v>
                </c:pt>
                <c:pt idx="22">
                  <c:v>530</c:v>
                </c:pt>
                <c:pt idx="23">
                  <c:v>340</c:v>
                </c:pt>
                <c:pt idx="24">
                  <c:v>400</c:v>
                </c:pt>
                <c:pt idx="25">
                  <c:v>460</c:v>
                </c:pt>
                <c:pt idx="26">
                  <c:v>520</c:v>
                </c:pt>
                <c:pt idx="27">
                  <c:v>330</c:v>
                </c:pt>
                <c:pt idx="28">
                  <c:v>390</c:v>
                </c:pt>
                <c:pt idx="29">
                  <c:v>450</c:v>
                </c:pt>
                <c:pt idx="30">
                  <c:v>510</c:v>
                </c:pt>
                <c:pt idx="31">
                  <c:v>570</c:v>
                </c:pt>
                <c:pt idx="32">
                  <c:v>630</c:v>
                </c:pt>
                <c:pt idx="33">
                  <c:v>190</c:v>
                </c:pt>
                <c:pt idx="34">
                  <c:v>250</c:v>
                </c:pt>
                <c:pt idx="35">
                  <c:v>300</c:v>
                </c:pt>
                <c:pt idx="36">
                  <c:v>300</c:v>
                </c:pt>
                <c:pt idx="37">
                  <c:v>300</c:v>
                </c:pt>
                <c:pt idx="38">
                  <c:v>300</c:v>
                </c:pt>
                <c:pt idx="39">
                  <c:v>300</c:v>
                </c:pt>
                <c:pt idx="40">
                  <c:v>300</c:v>
                </c:pt>
                <c:pt idx="41">
                  <c:v>300</c:v>
                </c:pt>
                <c:pt idx="42">
                  <c:v>300</c:v>
                </c:pt>
                <c:pt idx="43">
                  <c:v>0</c:v>
                </c:pt>
                <c:pt idx="44">
                  <c:v>0</c:v>
                </c:pt>
                <c:pt idx="45">
                  <c:v>0</c:v>
                </c:pt>
                <c:pt idx="46">
                  <c:v>0</c:v>
                </c:pt>
                <c:pt idx="47">
                  <c:v>0</c:v>
                </c:pt>
                <c:pt idx="48">
                  <c:v>0</c:v>
                </c:pt>
                <c:pt idx="49">
                  <c:v>0</c:v>
                </c:pt>
                <c:pt idx="50">
                  <c:v>0</c:v>
                </c:pt>
                <c:pt idx="51">
                  <c:v>0</c:v>
                </c:pt>
              </c:numCache>
            </c:numRef>
          </c:val>
          <c:smooth val="1"/>
          <c:extLst>
            <c:ext xmlns:c16="http://schemas.microsoft.com/office/drawing/2014/chart" uri="{C3380CC4-5D6E-409C-BE32-E72D297353CC}">
              <c16:uniqueId val="{00000000-871E-C349-8B56-4B9DAC13999E}"/>
            </c:ext>
          </c:extLst>
        </c:ser>
        <c:ser>
          <c:idx val="1"/>
          <c:order val="1"/>
          <c:tx>
            <c:strRef>
              <c:f>'Build vs Deploy'!$H$29</c:f>
              <c:strCache>
                <c:ptCount val="1"/>
                <c:pt idx="0">
                  <c:v>Waiting, with slip</c:v>
                </c:pt>
              </c:strCache>
            </c:strRef>
          </c:tx>
          <c:spPr>
            <a:ln>
              <a:prstDash val="solid"/>
            </a:ln>
          </c:spPr>
          <c:marker>
            <c:symbol val="none"/>
          </c:marker>
          <c:cat>
            <c:numRef>
              <c:f>'Build vs Deploy'!$A$30:$A$81</c:f>
              <c:numCache>
                <c:formatCode>0</c:formatCode>
                <c:ptCount val="52"/>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numCache>
            </c:numRef>
          </c:cat>
          <c:val>
            <c:numRef>
              <c:f>'Build vs Deploy'!$H$30:$H$81</c:f>
              <c:numCache>
                <c:formatCode>#,##0</c:formatCode>
                <c:ptCount val="52"/>
                <c:pt idx="0">
                  <c:v>60</c:v>
                </c:pt>
                <c:pt idx="1">
                  <c:v>120</c:v>
                </c:pt>
                <c:pt idx="2">
                  <c:v>180</c:v>
                </c:pt>
                <c:pt idx="3">
                  <c:v>240</c:v>
                </c:pt>
                <c:pt idx="4">
                  <c:v>300</c:v>
                </c:pt>
                <c:pt idx="5">
                  <c:v>210</c:v>
                </c:pt>
                <c:pt idx="6">
                  <c:v>270</c:v>
                </c:pt>
                <c:pt idx="7">
                  <c:v>330</c:v>
                </c:pt>
                <c:pt idx="8">
                  <c:v>390</c:v>
                </c:pt>
                <c:pt idx="9">
                  <c:v>450</c:v>
                </c:pt>
                <c:pt idx="10">
                  <c:v>510</c:v>
                </c:pt>
                <c:pt idx="11">
                  <c:v>270</c:v>
                </c:pt>
                <c:pt idx="12">
                  <c:v>330</c:v>
                </c:pt>
                <c:pt idx="13">
                  <c:v>390</c:v>
                </c:pt>
                <c:pt idx="14">
                  <c:v>450</c:v>
                </c:pt>
                <c:pt idx="15">
                  <c:v>310</c:v>
                </c:pt>
                <c:pt idx="16">
                  <c:v>370</c:v>
                </c:pt>
                <c:pt idx="17">
                  <c:v>430</c:v>
                </c:pt>
                <c:pt idx="18">
                  <c:v>490</c:v>
                </c:pt>
                <c:pt idx="19">
                  <c:v>350</c:v>
                </c:pt>
                <c:pt idx="20">
                  <c:v>410</c:v>
                </c:pt>
                <c:pt idx="21">
                  <c:v>470</c:v>
                </c:pt>
                <c:pt idx="22">
                  <c:v>530</c:v>
                </c:pt>
                <c:pt idx="23">
                  <c:v>340</c:v>
                </c:pt>
                <c:pt idx="24">
                  <c:v>400</c:v>
                </c:pt>
                <c:pt idx="25">
                  <c:v>460</c:v>
                </c:pt>
                <c:pt idx="26">
                  <c:v>520</c:v>
                </c:pt>
                <c:pt idx="27">
                  <c:v>330</c:v>
                </c:pt>
                <c:pt idx="28">
                  <c:v>390</c:v>
                </c:pt>
                <c:pt idx="29">
                  <c:v>450</c:v>
                </c:pt>
                <c:pt idx="30">
                  <c:v>510</c:v>
                </c:pt>
                <c:pt idx="31">
                  <c:v>570</c:v>
                </c:pt>
                <c:pt idx="32">
                  <c:v>630</c:v>
                </c:pt>
                <c:pt idx="33">
                  <c:v>690</c:v>
                </c:pt>
                <c:pt idx="34">
                  <c:v>750</c:v>
                </c:pt>
                <c:pt idx="35">
                  <c:v>800</c:v>
                </c:pt>
                <c:pt idx="36">
                  <c:v>800</c:v>
                </c:pt>
                <c:pt idx="37">
                  <c:v>800</c:v>
                </c:pt>
                <c:pt idx="38">
                  <c:v>800</c:v>
                </c:pt>
                <c:pt idx="39">
                  <c:v>800</c:v>
                </c:pt>
                <c:pt idx="40">
                  <c:v>800</c:v>
                </c:pt>
                <c:pt idx="41">
                  <c:v>300</c:v>
                </c:pt>
                <c:pt idx="42">
                  <c:v>300</c:v>
                </c:pt>
                <c:pt idx="43">
                  <c:v>0</c:v>
                </c:pt>
                <c:pt idx="44">
                  <c:v>0</c:v>
                </c:pt>
                <c:pt idx="45">
                  <c:v>0</c:v>
                </c:pt>
                <c:pt idx="46">
                  <c:v>0</c:v>
                </c:pt>
                <c:pt idx="47">
                  <c:v>0</c:v>
                </c:pt>
                <c:pt idx="48">
                  <c:v>0</c:v>
                </c:pt>
                <c:pt idx="49">
                  <c:v>0</c:v>
                </c:pt>
                <c:pt idx="50">
                  <c:v>0</c:v>
                </c:pt>
                <c:pt idx="51">
                  <c:v>0</c:v>
                </c:pt>
              </c:numCache>
            </c:numRef>
          </c:val>
          <c:smooth val="1"/>
          <c:extLst>
            <c:ext xmlns:c16="http://schemas.microsoft.com/office/drawing/2014/chart" uri="{C3380CC4-5D6E-409C-BE32-E72D297353CC}">
              <c16:uniqueId val="{00000001-871E-C349-8B56-4B9DAC13999E}"/>
            </c:ext>
          </c:extLst>
        </c:ser>
        <c:dLbls>
          <c:showLegendKey val="0"/>
          <c:showVal val="0"/>
          <c:showCatName val="0"/>
          <c:showSerName val="0"/>
          <c:showPercent val="0"/>
          <c:showBubbleSize val="0"/>
        </c:dLbls>
        <c:smooth val="0"/>
        <c:axId val="10"/>
        <c:axId val="100"/>
      </c:lineChart>
      <c:catAx>
        <c:axId val="10"/>
        <c:scaling>
          <c:orientation val="minMax"/>
        </c:scaling>
        <c:delete val="0"/>
        <c:axPos val="b"/>
        <c:title>
          <c:tx>
            <c:rich>
              <a:bodyPr/>
              <a:lstStyle/>
              <a:p>
                <a:pPr>
                  <a:defRPr/>
                </a:pPr>
                <a:r>
                  <a:t>Week</a:t>
                </a:r>
              </a:p>
            </c:rich>
          </c:tx>
          <c:overlay val="1"/>
        </c:title>
        <c:numFmt formatCode="0" sourceLinked="1"/>
        <c:majorTickMark val="none"/>
        <c:minorTickMark val="none"/>
        <c:tickLblPos val="nextTo"/>
        <c:crossAx val="100"/>
        <c:crosses val="autoZero"/>
        <c:auto val="1"/>
        <c:lblAlgn val="ctr"/>
        <c:lblOffset val="100"/>
        <c:noMultiLvlLbl val="1"/>
      </c:catAx>
      <c:valAx>
        <c:axId val="100"/>
        <c:scaling>
          <c:orientation val="minMax"/>
        </c:scaling>
        <c:delete val="0"/>
        <c:axPos val="l"/>
        <c:majorGridlines/>
        <c:title>
          <c:tx>
            <c:rich>
              <a:bodyPr/>
              <a:lstStyle/>
              <a:p>
                <a:pPr>
                  <a:defRPr/>
                </a:pPr>
                <a:r>
                  <a:t>Robotaxis</a:t>
                </a:r>
              </a:p>
            </c:rich>
          </c:tx>
          <c:overlay val="1"/>
        </c:title>
        <c:numFmt formatCode="#,##0" sourceLinked="1"/>
        <c:majorTickMark val="none"/>
        <c:minorTickMark val="none"/>
        <c:tickLblPos val="nextTo"/>
        <c:crossAx val="10"/>
        <c:crosses val="autoZero"/>
        <c:crossBetween val="between"/>
      </c:valAx>
    </c:plotArea>
    <c:legend>
      <c:legendPos val="r"/>
      <c:overlay val="1"/>
    </c:legend>
    <c:plotVisOnly val="1"/>
    <c:dispBlanksAs val="gap"/>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6</xdr:col>
      <xdr:colOff>0</xdr:colOff>
      <xdr:row>2</xdr:row>
      <xdr:rowOff>0</xdr:rowOff>
    </xdr:from>
    <xdr:ext cx="6480000" cy="2880000"/>
    <xdr:graphicFrame macro="">
      <xdr:nvGraphicFramePr>
        <xdr:cNvPr id="2" name="Chart 1">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7"/>
  <sheetViews>
    <sheetView showGridLines="0" tabSelected="1" workbookViewId="0"/>
  </sheetViews>
  <sheetFormatPr baseColWidth="10" defaultColWidth="8.83203125" defaultRowHeight="15" x14ac:dyDescent="0.2"/>
  <cols>
    <col min="1" max="1" width="55" customWidth="1"/>
    <col min="2" max="2" width="85" customWidth="1"/>
  </cols>
  <sheetData>
    <row r="1" spans="1:2" ht="18" x14ac:dyDescent="0.2">
      <c r="A1" s="1" t="s">
        <v>0</v>
      </c>
    </row>
    <row r="2" spans="1:2" x14ac:dyDescent="0.2">
      <c r="A2" s="2" t="s">
        <v>1</v>
      </c>
    </row>
    <row r="4" spans="1:2" ht="45" x14ac:dyDescent="0.2">
      <c r="A4" s="3" t="s">
        <v>2</v>
      </c>
      <c r="B4" s="4" t="s">
        <v>3</v>
      </c>
    </row>
    <row r="5" spans="1:2" ht="60" x14ac:dyDescent="0.2">
      <c r="A5" s="3" t="s">
        <v>4</v>
      </c>
      <c r="B5" s="4" t="s">
        <v>5</v>
      </c>
    </row>
    <row r="6" spans="1:2" ht="30" x14ac:dyDescent="0.2">
      <c r="A6" s="3" t="s">
        <v>6</v>
      </c>
      <c r="B6" s="4" t="s">
        <v>7</v>
      </c>
    </row>
    <row r="7" spans="1:2" x14ac:dyDescent="0.2">
      <c r="A7" s="3" t="s">
        <v>8</v>
      </c>
      <c r="B7" s="4" t="s">
        <v>9</v>
      </c>
    </row>
    <row r="8" spans="1:2" ht="60" x14ac:dyDescent="0.2">
      <c r="A8" s="3" t="s">
        <v>10</v>
      </c>
      <c r="B8" s="4" t="s">
        <v>11</v>
      </c>
    </row>
    <row r="9" spans="1:2" x14ac:dyDescent="0.2">
      <c r="A9" s="3"/>
      <c r="B9" s="4"/>
    </row>
    <row r="10" spans="1:2" x14ac:dyDescent="0.2">
      <c r="A10" s="3" t="s">
        <v>12</v>
      </c>
      <c r="B10" s="4"/>
    </row>
    <row r="11" spans="1:2" ht="45" x14ac:dyDescent="0.2">
      <c r="A11" s="3" t="s">
        <v>13</v>
      </c>
      <c r="B11" s="4" t="s">
        <v>14</v>
      </c>
    </row>
    <row r="12" spans="1:2" ht="45" x14ac:dyDescent="0.2">
      <c r="A12" s="3" t="s">
        <v>15</v>
      </c>
      <c r="B12" s="4" t="s">
        <v>16</v>
      </c>
    </row>
    <row r="13" spans="1:2" ht="30" x14ac:dyDescent="0.2">
      <c r="A13" s="3" t="s">
        <v>17</v>
      </c>
      <c r="B13" s="4" t="s">
        <v>18</v>
      </c>
    </row>
    <row r="14" spans="1:2" ht="30" x14ac:dyDescent="0.2">
      <c r="A14" s="3" t="s">
        <v>19</v>
      </c>
      <c r="B14" s="4" t="s">
        <v>20</v>
      </c>
    </row>
    <row r="15" spans="1:2" ht="30" x14ac:dyDescent="0.2">
      <c r="A15" s="3" t="s">
        <v>21</v>
      </c>
      <c r="B15" s="4" t="s">
        <v>22</v>
      </c>
    </row>
    <row r="16" spans="1:2" ht="30" x14ac:dyDescent="0.2">
      <c r="A16" s="3" t="s">
        <v>23</v>
      </c>
      <c r="B16" s="4" t="s">
        <v>24</v>
      </c>
    </row>
    <row r="17" spans="1:2" ht="30" x14ac:dyDescent="0.2">
      <c r="A17" s="3" t="s">
        <v>25</v>
      </c>
      <c r="B17" s="4" t="s">
        <v>26</v>
      </c>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7"/>
  <sheetViews>
    <sheetView showGridLines="0" workbookViewId="0"/>
  </sheetViews>
  <sheetFormatPr baseColWidth="10" defaultColWidth="8.83203125" defaultRowHeight="15" x14ac:dyDescent="0.2"/>
  <cols>
    <col min="1" max="1" width="50" customWidth="1"/>
    <col min="2" max="2" width="12" customWidth="1"/>
    <col min="3" max="3" width="20" customWidth="1"/>
    <col min="4" max="4" width="60" customWidth="1"/>
  </cols>
  <sheetData>
    <row r="1" spans="1:4" ht="18" x14ac:dyDescent="0.2">
      <c r="A1" s="1" t="s">
        <v>27</v>
      </c>
    </row>
    <row r="2" spans="1:4" x14ac:dyDescent="0.2">
      <c r="A2" s="2" t="s">
        <v>28</v>
      </c>
    </row>
    <row r="4" spans="1:4" x14ac:dyDescent="0.2">
      <c r="A4" s="5" t="s">
        <v>29</v>
      </c>
      <c r="B4" s="5" t="s">
        <v>30</v>
      </c>
      <c r="C4" s="5" t="s">
        <v>31</v>
      </c>
      <c r="D4" s="5" t="s">
        <v>32</v>
      </c>
    </row>
    <row r="5" spans="1:4" x14ac:dyDescent="0.2">
      <c r="A5" s="6" t="s">
        <v>33</v>
      </c>
      <c r="B5" s="7">
        <v>100</v>
      </c>
      <c r="C5" s="6" t="s">
        <v>34</v>
      </c>
      <c r="D5" s="8" t="s">
        <v>35</v>
      </c>
    </row>
    <row r="6" spans="1:4" x14ac:dyDescent="0.2">
      <c r="A6" s="6" t="s">
        <v>36</v>
      </c>
      <c r="B6" s="7">
        <v>100</v>
      </c>
      <c r="C6" s="6" t="s">
        <v>37</v>
      </c>
      <c r="D6" s="8" t="s">
        <v>38</v>
      </c>
    </row>
    <row r="7" spans="1:4" x14ac:dyDescent="0.2">
      <c r="A7" s="6" t="s">
        <v>39</v>
      </c>
      <c r="B7" s="7">
        <v>10000</v>
      </c>
      <c r="C7" s="6" t="s">
        <v>40</v>
      </c>
      <c r="D7" s="8" t="s">
        <v>41</v>
      </c>
    </row>
    <row r="8" spans="1:4" x14ac:dyDescent="0.2">
      <c r="A8" s="6" t="s">
        <v>42</v>
      </c>
      <c r="B8" s="7">
        <v>2500</v>
      </c>
      <c r="C8" s="6" t="s">
        <v>40</v>
      </c>
      <c r="D8" s="8" t="s">
        <v>43</v>
      </c>
    </row>
    <row r="9" spans="1:4" x14ac:dyDescent="0.2">
      <c r="A9" s="6" t="s">
        <v>44</v>
      </c>
      <c r="B9" s="9">
        <v>1</v>
      </c>
      <c r="C9" s="6" t="s">
        <v>45</v>
      </c>
      <c r="D9" s="8" t="s">
        <v>46</v>
      </c>
    </row>
    <row r="10" spans="1:4" x14ac:dyDescent="0.2">
      <c r="A10" s="6" t="s">
        <v>47</v>
      </c>
      <c r="B10" s="10">
        <v>5</v>
      </c>
      <c r="C10" s="6" t="s">
        <v>48</v>
      </c>
      <c r="D10" s="8" t="s">
        <v>49</v>
      </c>
    </row>
    <row r="12" spans="1:4" x14ac:dyDescent="0.2">
      <c r="A12" s="11" t="s">
        <v>50</v>
      </c>
      <c r="B12" s="12">
        <f>B5/B6</f>
        <v>1</v>
      </c>
      <c r="C12" s="6" t="s">
        <v>51</v>
      </c>
    </row>
    <row r="13" spans="1:4" x14ac:dyDescent="0.2">
      <c r="A13" s="11" t="s">
        <v>52</v>
      </c>
      <c r="B13" s="13">
        <f>B8/B6</f>
        <v>25</v>
      </c>
      <c r="C13" s="6" t="s">
        <v>51</v>
      </c>
    </row>
    <row r="14" spans="1:4" x14ac:dyDescent="0.2">
      <c r="A14" s="11" t="s">
        <v>53</v>
      </c>
      <c r="B14" s="13">
        <f>B8/52</f>
        <v>48.07692307692308</v>
      </c>
      <c r="C14" s="6" t="s">
        <v>37</v>
      </c>
    </row>
    <row r="15" spans="1:4" x14ac:dyDescent="0.2">
      <c r="A15" s="11" t="s">
        <v>54</v>
      </c>
      <c r="B15" s="14">
        <f>B7/B8</f>
        <v>4</v>
      </c>
    </row>
    <row r="16" spans="1:4" x14ac:dyDescent="0.2">
      <c r="A16" s="11" t="s">
        <v>55</v>
      </c>
      <c r="B16" s="15">
        <f>B6/(B9*B10)</f>
        <v>20</v>
      </c>
      <c r="C16" s="6" t="s">
        <v>56</v>
      </c>
    </row>
    <row r="17" spans="1:3" x14ac:dyDescent="0.2">
      <c r="A17" s="11" t="s">
        <v>57</v>
      </c>
      <c r="B17" s="16">
        <f>B6</f>
        <v>100</v>
      </c>
      <c r="C17" s="6" t="s">
        <v>58</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81"/>
  <sheetViews>
    <sheetView showGridLines="0" workbookViewId="0"/>
  </sheetViews>
  <sheetFormatPr baseColWidth="10" defaultColWidth="8.83203125" defaultRowHeight="15" x14ac:dyDescent="0.2"/>
  <cols>
    <col min="1" max="1" width="44" customWidth="1"/>
    <col min="2" max="3" width="14" customWidth="1"/>
    <col min="4" max="4" width="18" customWidth="1"/>
    <col min="5" max="6" width="12" customWidth="1"/>
    <col min="7" max="7" width="16" customWidth="1"/>
    <col min="8" max="8" width="14" customWidth="1"/>
    <col min="9" max="9" width="12" customWidth="1"/>
  </cols>
  <sheetData>
    <row r="1" spans="1:5" ht="18" x14ac:dyDescent="0.2">
      <c r="A1" s="1" t="s">
        <v>59</v>
      </c>
    </row>
    <row r="2" spans="1:5" x14ac:dyDescent="0.2">
      <c r="A2" s="2" t="s">
        <v>60</v>
      </c>
    </row>
    <row r="4" spans="1:5" x14ac:dyDescent="0.2">
      <c r="A4" s="11" t="s">
        <v>61</v>
      </c>
      <c r="B4" s="10">
        <v>60</v>
      </c>
    </row>
    <row r="5" spans="1:5" x14ac:dyDescent="0.2">
      <c r="A5" s="6" t="s">
        <v>62</v>
      </c>
      <c r="B5" s="10">
        <v>2</v>
      </c>
    </row>
    <row r="6" spans="1:5" x14ac:dyDescent="0.2">
      <c r="A6" s="6" t="s">
        <v>63</v>
      </c>
      <c r="B6" s="17" t="s">
        <v>64</v>
      </c>
    </row>
    <row r="7" spans="1:5" x14ac:dyDescent="0.2">
      <c r="A7" s="6" t="s">
        <v>65</v>
      </c>
      <c r="B7" s="10">
        <v>8</v>
      </c>
    </row>
    <row r="9" spans="1:5" ht="32" customHeight="1" x14ac:dyDescent="0.2">
      <c r="A9" s="5" t="s">
        <v>66</v>
      </c>
      <c r="B9" s="5" t="s">
        <v>67</v>
      </c>
      <c r="C9" s="5" t="s">
        <v>68</v>
      </c>
      <c r="D9" s="5" t="s">
        <v>69</v>
      </c>
      <c r="E9" s="5" t="s">
        <v>70</v>
      </c>
    </row>
    <row r="10" spans="1:5" x14ac:dyDescent="0.2">
      <c r="A10" s="6" t="s">
        <v>71</v>
      </c>
      <c r="B10" s="10">
        <v>6</v>
      </c>
      <c r="C10" s="18">
        <v>150</v>
      </c>
      <c r="D10" s="19">
        <f t="shared" ref="D10:D17" si="0">B10+IF(ISNUMBER(SEARCH($B$6,A10)),$B$7,0)</f>
        <v>6</v>
      </c>
      <c r="E10" s="20" t="s">
        <v>72</v>
      </c>
    </row>
    <row r="11" spans="1:5" x14ac:dyDescent="0.2">
      <c r="A11" s="6" t="s">
        <v>73</v>
      </c>
      <c r="B11" s="10">
        <v>12</v>
      </c>
      <c r="C11" s="18">
        <v>300</v>
      </c>
      <c r="D11" s="19">
        <f t="shared" si="0"/>
        <v>12</v>
      </c>
      <c r="E11" s="20" t="s">
        <v>74</v>
      </c>
    </row>
    <row r="12" spans="1:5" x14ac:dyDescent="0.2">
      <c r="A12" s="6" t="s">
        <v>75</v>
      </c>
      <c r="B12" s="10">
        <v>16</v>
      </c>
      <c r="C12" s="18">
        <v>200</v>
      </c>
      <c r="D12" s="19">
        <f t="shared" si="0"/>
        <v>16</v>
      </c>
      <c r="E12" s="20" t="s">
        <v>76</v>
      </c>
    </row>
    <row r="13" spans="1:5" x14ac:dyDescent="0.2">
      <c r="A13" s="6" t="s">
        <v>77</v>
      </c>
      <c r="B13" s="10">
        <v>20</v>
      </c>
      <c r="C13" s="18">
        <v>200</v>
      </c>
      <c r="D13" s="19">
        <f t="shared" si="0"/>
        <v>20</v>
      </c>
      <c r="E13" s="20" t="s">
        <v>76</v>
      </c>
    </row>
    <row r="14" spans="1:5" x14ac:dyDescent="0.2">
      <c r="A14" s="6" t="s">
        <v>78</v>
      </c>
      <c r="B14" s="10">
        <v>24</v>
      </c>
      <c r="C14" s="18">
        <v>250</v>
      </c>
      <c r="D14" s="19">
        <f t="shared" si="0"/>
        <v>24</v>
      </c>
      <c r="E14" s="20" t="s">
        <v>79</v>
      </c>
    </row>
    <row r="15" spans="1:5" x14ac:dyDescent="0.2">
      <c r="A15" s="6" t="s">
        <v>80</v>
      </c>
      <c r="B15" s="10">
        <v>28</v>
      </c>
      <c r="C15" s="18">
        <v>250</v>
      </c>
      <c r="D15" s="19">
        <f t="shared" si="0"/>
        <v>28</v>
      </c>
      <c r="E15" s="20" t="s">
        <v>79</v>
      </c>
    </row>
    <row r="16" spans="1:5" x14ac:dyDescent="0.2">
      <c r="A16" s="6" t="s">
        <v>64</v>
      </c>
      <c r="B16" s="10">
        <v>34</v>
      </c>
      <c r="C16" s="18">
        <v>500</v>
      </c>
      <c r="D16" s="19">
        <f t="shared" si="0"/>
        <v>42</v>
      </c>
      <c r="E16" s="20" t="s">
        <v>81</v>
      </c>
    </row>
    <row r="17" spans="1:9" x14ac:dyDescent="0.2">
      <c r="A17" s="6" t="s">
        <v>82</v>
      </c>
      <c r="B17" s="10">
        <v>44</v>
      </c>
      <c r="C17" s="18">
        <v>300</v>
      </c>
      <c r="D17" s="19">
        <f t="shared" si="0"/>
        <v>44</v>
      </c>
      <c r="E17" s="20" t="s">
        <v>83</v>
      </c>
    </row>
    <row r="19" spans="1:9" x14ac:dyDescent="0.2">
      <c r="A19" s="11" t="s">
        <v>84</v>
      </c>
      <c r="C19" s="16">
        <f>SUM(C10:C17)</f>
        <v>2150</v>
      </c>
    </row>
    <row r="20" spans="1:9" x14ac:dyDescent="0.2">
      <c r="A20" s="6" t="s">
        <v>85</v>
      </c>
      <c r="C20" s="21">
        <f>Inputs!B8</f>
        <v>2500</v>
      </c>
    </row>
    <row r="21" spans="1:9" x14ac:dyDescent="0.2">
      <c r="A21" s="11" t="s">
        <v>86</v>
      </c>
      <c r="C21" s="16">
        <f>ROUNDUP(MAX(I30:I81),0)</f>
        <v>58</v>
      </c>
    </row>
    <row r="22" spans="1:9" x14ac:dyDescent="0.2">
      <c r="A22" s="11" t="s">
        <v>87</v>
      </c>
      <c r="C22" s="16">
        <f>MAX(E30:E81)</f>
        <v>630</v>
      </c>
    </row>
    <row r="23" spans="1:9" x14ac:dyDescent="0.2">
      <c r="A23" s="11" t="s">
        <v>88</v>
      </c>
      <c r="C23" s="16">
        <f>MAX(H30:H81)</f>
        <v>800</v>
      </c>
    </row>
    <row r="24" spans="1:9" x14ac:dyDescent="0.2">
      <c r="A24" s="6" t="s">
        <v>89</v>
      </c>
      <c r="C24" s="22">
        <f>C23-C22</f>
        <v>170</v>
      </c>
    </row>
    <row r="25" spans="1:9" x14ac:dyDescent="0.2">
      <c r="A25" s="6" t="s">
        <v>90</v>
      </c>
      <c r="C25" s="22">
        <f>MAX(F30:F81)</f>
        <v>0</v>
      </c>
    </row>
    <row r="27" spans="1:9" x14ac:dyDescent="0.2">
      <c r="A27" s="23" t="s">
        <v>91</v>
      </c>
    </row>
    <row r="29" spans="1:9" ht="44" customHeight="1" x14ac:dyDescent="0.2">
      <c r="A29" s="5" t="s">
        <v>92</v>
      </c>
      <c r="B29" s="5" t="s">
        <v>93</v>
      </c>
      <c r="C29" s="5" t="s">
        <v>94</v>
      </c>
      <c r="D29" s="5" t="s">
        <v>95</v>
      </c>
      <c r="E29" s="5" t="s">
        <v>96</v>
      </c>
      <c r="F29" s="5" t="s">
        <v>97</v>
      </c>
      <c r="G29" s="5" t="s">
        <v>98</v>
      </c>
      <c r="H29" s="5" t="s">
        <v>99</v>
      </c>
      <c r="I29" s="5" t="s">
        <v>100</v>
      </c>
    </row>
    <row r="30" spans="1:9" x14ac:dyDescent="0.2">
      <c r="A30" s="9">
        <v>1</v>
      </c>
      <c r="B30" s="22">
        <f>MIN($B$4,$C$19)</f>
        <v>60</v>
      </c>
      <c r="C30" s="22">
        <f>B30</f>
        <v>60</v>
      </c>
      <c r="D30" s="22">
        <f t="shared" ref="D30:D61" si="1">SUMIF($B$10:$B$17,"&lt;="&amp;(A30+$B$5),$C$10:$C$17)</f>
        <v>0</v>
      </c>
      <c r="E30" s="22">
        <f t="shared" ref="E30:E61" si="2">MAX(0,C30-SUMIF($B$10:$B$17,"&lt;="&amp;A30,$C$10:$C$17))</f>
        <v>60</v>
      </c>
      <c r="F30" s="22">
        <f t="shared" ref="F30:F61" si="3">MAX(0,D30-C30)</f>
        <v>0</v>
      </c>
      <c r="G30" s="22">
        <f t="shared" ref="G30:G61" si="4">SUMIF($D$10:$D$17,"&lt;="&amp;A30,$C$10:$C$17)</f>
        <v>0</v>
      </c>
      <c r="H30" s="22">
        <f t="shared" ref="H30:H61" si="5">MAX(0,C30-G30)</f>
        <v>60</v>
      </c>
      <c r="I30" s="24">
        <f t="shared" ref="I30:I61" si="6">D30/A30</f>
        <v>0</v>
      </c>
    </row>
    <row r="31" spans="1:9" x14ac:dyDescent="0.2">
      <c r="A31" s="9">
        <v>2</v>
      </c>
      <c r="B31" s="22">
        <f t="shared" ref="B31:B62" si="7">MIN($B$4,MAX(0,$C$19-C30))</f>
        <v>60</v>
      </c>
      <c r="C31" s="22">
        <f t="shared" ref="C31:C62" si="8">C30+B31</f>
        <v>120</v>
      </c>
      <c r="D31" s="22">
        <f t="shared" si="1"/>
        <v>0</v>
      </c>
      <c r="E31" s="22">
        <f t="shared" si="2"/>
        <v>120</v>
      </c>
      <c r="F31" s="22">
        <f t="shared" si="3"/>
        <v>0</v>
      </c>
      <c r="G31" s="22">
        <f t="shared" si="4"/>
        <v>0</v>
      </c>
      <c r="H31" s="22">
        <f t="shared" si="5"/>
        <v>120</v>
      </c>
      <c r="I31" s="24">
        <f t="shared" si="6"/>
        <v>0</v>
      </c>
    </row>
    <row r="32" spans="1:9" x14ac:dyDescent="0.2">
      <c r="A32" s="9">
        <v>3</v>
      </c>
      <c r="B32" s="22">
        <f t="shared" si="7"/>
        <v>60</v>
      </c>
      <c r="C32" s="22">
        <f t="shared" si="8"/>
        <v>180</v>
      </c>
      <c r="D32" s="22">
        <f t="shared" si="1"/>
        <v>0</v>
      </c>
      <c r="E32" s="22">
        <f t="shared" si="2"/>
        <v>180</v>
      </c>
      <c r="F32" s="22">
        <f t="shared" si="3"/>
        <v>0</v>
      </c>
      <c r="G32" s="22">
        <f t="shared" si="4"/>
        <v>0</v>
      </c>
      <c r="H32" s="22">
        <f t="shared" si="5"/>
        <v>180</v>
      </c>
      <c r="I32" s="24">
        <f t="shared" si="6"/>
        <v>0</v>
      </c>
    </row>
    <row r="33" spans="1:9" x14ac:dyDescent="0.2">
      <c r="A33" s="9">
        <v>4</v>
      </c>
      <c r="B33" s="22">
        <f t="shared" si="7"/>
        <v>60</v>
      </c>
      <c r="C33" s="22">
        <f t="shared" si="8"/>
        <v>240</v>
      </c>
      <c r="D33" s="22">
        <f t="shared" si="1"/>
        <v>150</v>
      </c>
      <c r="E33" s="22">
        <f t="shared" si="2"/>
        <v>240</v>
      </c>
      <c r="F33" s="22">
        <f t="shared" si="3"/>
        <v>0</v>
      </c>
      <c r="G33" s="22">
        <f t="shared" si="4"/>
        <v>0</v>
      </c>
      <c r="H33" s="22">
        <f t="shared" si="5"/>
        <v>240</v>
      </c>
      <c r="I33" s="24">
        <f t="shared" si="6"/>
        <v>37.5</v>
      </c>
    </row>
    <row r="34" spans="1:9" x14ac:dyDescent="0.2">
      <c r="A34" s="9">
        <v>5</v>
      </c>
      <c r="B34" s="22">
        <f t="shared" si="7"/>
        <v>60</v>
      </c>
      <c r="C34" s="22">
        <f t="shared" si="8"/>
        <v>300</v>
      </c>
      <c r="D34" s="22">
        <f t="shared" si="1"/>
        <v>150</v>
      </c>
      <c r="E34" s="22">
        <f t="shared" si="2"/>
        <v>300</v>
      </c>
      <c r="F34" s="22">
        <f t="shared" si="3"/>
        <v>0</v>
      </c>
      <c r="G34" s="22">
        <f t="shared" si="4"/>
        <v>0</v>
      </c>
      <c r="H34" s="22">
        <f t="shared" si="5"/>
        <v>300</v>
      </c>
      <c r="I34" s="24">
        <f t="shared" si="6"/>
        <v>30</v>
      </c>
    </row>
    <row r="35" spans="1:9" x14ac:dyDescent="0.2">
      <c r="A35" s="9">
        <v>6</v>
      </c>
      <c r="B35" s="22">
        <f t="shared" si="7"/>
        <v>60</v>
      </c>
      <c r="C35" s="22">
        <f t="shared" si="8"/>
        <v>360</v>
      </c>
      <c r="D35" s="22">
        <f t="shared" si="1"/>
        <v>150</v>
      </c>
      <c r="E35" s="22">
        <f t="shared" si="2"/>
        <v>210</v>
      </c>
      <c r="F35" s="22">
        <f t="shared" si="3"/>
        <v>0</v>
      </c>
      <c r="G35" s="22">
        <f t="shared" si="4"/>
        <v>150</v>
      </c>
      <c r="H35" s="22">
        <f t="shared" si="5"/>
        <v>210</v>
      </c>
      <c r="I35" s="24">
        <f t="shared" si="6"/>
        <v>25</v>
      </c>
    </row>
    <row r="36" spans="1:9" x14ac:dyDescent="0.2">
      <c r="A36" s="9">
        <v>7</v>
      </c>
      <c r="B36" s="22">
        <f t="shared" si="7"/>
        <v>60</v>
      </c>
      <c r="C36" s="22">
        <f t="shared" si="8"/>
        <v>420</v>
      </c>
      <c r="D36" s="22">
        <f t="shared" si="1"/>
        <v>150</v>
      </c>
      <c r="E36" s="22">
        <f t="shared" si="2"/>
        <v>270</v>
      </c>
      <c r="F36" s="22">
        <f t="shared" si="3"/>
        <v>0</v>
      </c>
      <c r="G36" s="22">
        <f t="shared" si="4"/>
        <v>150</v>
      </c>
      <c r="H36" s="22">
        <f t="shared" si="5"/>
        <v>270</v>
      </c>
      <c r="I36" s="24">
        <f t="shared" si="6"/>
        <v>21.428571428571427</v>
      </c>
    </row>
    <row r="37" spans="1:9" x14ac:dyDescent="0.2">
      <c r="A37" s="9">
        <v>8</v>
      </c>
      <c r="B37" s="22">
        <f t="shared" si="7"/>
        <v>60</v>
      </c>
      <c r="C37" s="22">
        <f t="shared" si="8"/>
        <v>480</v>
      </c>
      <c r="D37" s="22">
        <f t="shared" si="1"/>
        <v>150</v>
      </c>
      <c r="E37" s="22">
        <f t="shared" si="2"/>
        <v>330</v>
      </c>
      <c r="F37" s="22">
        <f t="shared" si="3"/>
        <v>0</v>
      </c>
      <c r="G37" s="22">
        <f t="shared" si="4"/>
        <v>150</v>
      </c>
      <c r="H37" s="22">
        <f t="shared" si="5"/>
        <v>330</v>
      </c>
      <c r="I37" s="24">
        <f t="shared" si="6"/>
        <v>18.75</v>
      </c>
    </row>
    <row r="38" spans="1:9" x14ac:dyDescent="0.2">
      <c r="A38" s="9">
        <v>9</v>
      </c>
      <c r="B38" s="22">
        <f t="shared" si="7"/>
        <v>60</v>
      </c>
      <c r="C38" s="22">
        <f t="shared" si="8"/>
        <v>540</v>
      </c>
      <c r="D38" s="22">
        <f t="shared" si="1"/>
        <v>150</v>
      </c>
      <c r="E38" s="22">
        <f t="shared" si="2"/>
        <v>390</v>
      </c>
      <c r="F38" s="22">
        <f t="shared" si="3"/>
        <v>0</v>
      </c>
      <c r="G38" s="22">
        <f t="shared" si="4"/>
        <v>150</v>
      </c>
      <c r="H38" s="22">
        <f t="shared" si="5"/>
        <v>390</v>
      </c>
      <c r="I38" s="24">
        <f t="shared" si="6"/>
        <v>16.666666666666668</v>
      </c>
    </row>
    <row r="39" spans="1:9" x14ac:dyDescent="0.2">
      <c r="A39" s="9">
        <v>10</v>
      </c>
      <c r="B39" s="22">
        <f t="shared" si="7"/>
        <v>60</v>
      </c>
      <c r="C39" s="22">
        <f t="shared" si="8"/>
        <v>600</v>
      </c>
      <c r="D39" s="22">
        <f t="shared" si="1"/>
        <v>450</v>
      </c>
      <c r="E39" s="22">
        <f t="shared" si="2"/>
        <v>450</v>
      </c>
      <c r="F39" s="22">
        <f t="shared" si="3"/>
        <v>0</v>
      </c>
      <c r="G39" s="22">
        <f t="shared" si="4"/>
        <v>150</v>
      </c>
      <c r="H39" s="22">
        <f t="shared" si="5"/>
        <v>450</v>
      </c>
      <c r="I39" s="24">
        <f t="shared" si="6"/>
        <v>45</v>
      </c>
    </row>
    <row r="40" spans="1:9" x14ac:dyDescent="0.2">
      <c r="A40" s="9">
        <v>11</v>
      </c>
      <c r="B40" s="22">
        <f t="shared" si="7"/>
        <v>60</v>
      </c>
      <c r="C40" s="22">
        <f t="shared" si="8"/>
        <v>660</v>
      </c>
      <c r="D40" s="22">
        <f t="shared" si="1"/>
        <v>450</v>
      </c>
      <c r="E40" s="22">
        <f t="shared" si="2"/>
        <v>510</v>
      </c>
      <c r="F40" s="22">
        <f t="shared" si="3"/>
        <v>0</v>
      </c>
      <c r="G40" s="22">
        <f t="shared" si="4"/>
        <v>150</v>
      </c>
      <c r="H40" s="22">
        <f t="shared" si="5"/>
        <v>510</v>
      </c>
      <c r="I40" s="24">
        <f t="shared" si="6"/>
        <v>40.909090909090907</v>
      </c>
    </row>
    <row r="41" spans="1:9" x14ac:dyDescent="0.2">
      <c r="A41" s="9">
        <v>12</v>
      </c>
      <c r="B41" s="22">
        <f t="shared" si="7"/>
        <v>60</v>
      </c>
      <c r="C41" s="22">
        <f t="shared" si="8"/>
        <v>720</v>
      </c>
      <c r="D41" s="22">
        <f t="shared" si="1"/>
        <v>450</v>
      </c>
      <c r="E41" s="22">
        <f t="shared" si="2"/>
        <v>270</v>
      </c>
      <c r="F41" s="22">
        <f t="shared" si="3"/>
        <v>0</v>
      </c>
      <c r="G41" s="22">
        <f t="shared" si="4"/>
        <v>450</v>
      </c>
      <c r="H41" s="22">
        <f t="shared" si="5"/>
        <v>270</v>
      </c>
      <c r="I41" s="24">
        <f t="shared" si="6"/>
        <v>37.5</v>
      </c>
    </row>
    <row r="42" spans="1:9" x14ac:dyDescent="0.2">
      <c r="A42" s="9">
        <v>13</v>
      </c>
      <c r="B42" s="22">
        <f t="shared" si="7"/>
        <v>60</v>
      </c>
      <c r="C42" s="22">
        <f t="shared" si="8"/>
        <v>780</v>
      </c>
      <c r="D42" s="22">
        <f t="shared" si="1"/>
        <v>450</v>
      </c>
      <c r="E42" s="22">
        <f t="shared" si="2"/>
        <v>330</v>
      </c>
      <c r="F42" s="22">
        <f t="shared" si="3"/>
        <v>0</v>
      </c>
      <c r="G42" s="22">
        <f t="shared" si="4"/>
        <v>450</v>
      </c>
      <c r="H42" s="22">
        <f t="shared" si="5"/>
        <v>330</v>
      </c>
      <c r="I42" s="24">
        <f t="shared" si="6"/>
        <v>34.615384615384613</v>
      </c>
    </row>
    <row r="43" spans="1:9" x14ac:dyDescent="0.2">
      <c r="A43" s="9">
        <v>14</v>
      </c>
      <c r="B43" s="22">
        <f t="shared" si="7"/>
        <v>60</v>
      </c>
      <c r="C43" s="22">
        <f t="shared" si="8"/>
        <v>840</v>
      </c>
      <c r="D43" s="22">
        <f t="shared" si="1"/>
        <v>650</v>
      </c>
      <c r="E43" s="22">
        <f t="shared" si="2"/>
        <v>390</v>
      </c>
      <c r="F43" s="22">
        <f t="shared" si="3"/>
        <v>0</v>
      </c>
      <c r="G43" s="22">
        <f t="shared" si="4"/>
        <v>450</v>
      </c>
      <c r="H43" s="22">
        <f t="shared" si="5"/>
        <v>390</v>
      </c>
      <c r="I43" s="24">
        <f t="shared" si="6"/>
        <v>46.428571428571431</v>
      </c>
    </row>
    <row r="44" spans="1:9" x14ac:dyDescent="0.2">
      <c r="A44" s="9">
        <v>15</v>
      </c>
      <c r="B44" s="22">
        <f t="shared" si="7"/>
        <v>60</v>
      </c>
      <c r="C44" s="22">
        <f t="shared" si="8"/>
        <v>900</v>
      </c>
      <c r="D44" s="22">
        <f t="shared" si="1"/>
        <v>650</v>
      </c>
      <c r="E44" s="22">
        <f t="shared" si="2"/>
        <v>450</v>
      </c>
      <c r="F44" s="22">
        <f t="shared" si="3"/>
        <v>0</v>
      </c>
      <c r="G44" s="22">
        <f t="shared" si="4"/>
        <v>450</v>
      </c>
      <c r="H44" s="22">
        <f t="shared" si="5"/>
        <v>450</v>
      </c>
      <c r="I44" s="24">
        <f t="shared" si="6"/>
        <v>43.333333333333336</v>
      </c>
    </row>
    <row r="45" spans="1:9" x14ac:dyDescent="0.2">
      <c r="A45" s="9">
        <v>16</v>
      </c>
      <c r="B45" s="22">
        <f t="shared" si="7"/>
        <v>60</v>
      </c>
      <c r="C45" s="22">
        <f t="shared" si="8"/>
        <v>960</v>
      </c>
      <c r="D45" s="22">
        <f t="shared" si="1"/>
        <v>650</v>
      </c>
      <c r="E45" s="22">
        <f t="shared" si="2"/>
        <v>310</v>
      </c>
      <c r="F45" s="22">
        <f t="shared" si="3"/>
        <v>0</v>
      </c>
      <c r="G45" s="22">
        <f t="shared" si="4"/>
        <v>650</v>
      </c>
      <c r="H45" s="22">
        <f t="shared" si="5"/>
        <v>310</v>
      </c>
      <c r="I45" s="24">
        <f t="shared" si="6"/>
        <v>40.625</v>
      </c>
    </row>
    <row r="46" spans="1:9" x14ac:dyDescent="0.2">
      <c r="A46" s="9">
        <v>17</v>
      </c>
      <c r="B46" s="22">
        <f t="shared" si="7"/>
        <v>60</v>
      </c>
      <c r="C46" s="22">
        <f t="shared" si="8"/>
        <v>1020</v>
      </c>
      <c r="D46" s="22">
        <f t="shared" si="1"/>
        <v>650</v>
      </c>
      <c r="E46" s="22">
        <f t="shared" si="2"/>
        <v>370</v>
      </c>
      <c r="F46" s="22">
        <f t="shared" si="3"/>
        <v>0</v>
      </c>
      <c r="G46" s="22">
        <f t="shared" si="4"/>
        <v>650</v>
      </c>
      <c r="H46" s="22">
        <f t="shared" si="5"/>
        <v>370</v>
      </c>
      <c r="I46" s="24">
        <f t="shared" si="6"/>
        <v>38.235294117647058</v>
      </c>
    </row>
    <row r="47" spans="1:9" x14ac:dyDescent="0.2">
      <c r="A47" s="9">
        <v>18</v>
      </c>
      <c r="B47" s="22">
        <f t="shared" si="7"/>
        <v>60</v>
      </c>
      <c r="C47" s="22">
        <f t="shared" si="8"/>
        <v>1080</v>
      </c>
      <c r="D47" s="22">
        <f t="shared" si="1"/>
        <v>850</v>
      </c>
      <c r="E47" s="22">
        <f t="shared" si="2"/>
        <v>430</v>
      </c>
      <c r="F47" s="22">
        <f t="shared" si="3"/>
        <v>0</v>
      </c>
      <c r="G47" s="22">
        <f t="shared" si="4"/>
        <v>650</v>
      </c>
      <c r="H47" s="22">
        <f t="shared" si="5"/>
        <v>430</v>
      </c>
      <c r="I47" s="24">
        <f t="shared" si="6"/>
        <v>47.222222222222221</v>
      </c>
    </row>
    <row r="48" spans="1:9" x14ac:dyDescent="0.2">
      <c r="A48" s="9">
        <v>19</v>
      </c>
      <c r="B48" s="22">
        <f t="shared" si="7"/>
        <v>60</v>
      </c>
      <c r="C48" s="22">
        <f t="shared" si="8"/>
        <v>1140</v>
      </c>
      <c r="D48" s="22">
        <f t="shared" si="1"/>
        <v>850</v>
      </c>
      <c r="E48" s="22">
        <f t="shared" si="2"/>
        <v>490</v>
      </c>
      <c r="F48" s="22">
        <f t="shared" si="3"/>
        <v>0</v>
      </c>
      <c r="G48" s="22">
        <f t="shared" si="4"/>
        <v>650</v>
      </c>
      <c r="H48" s="22">
        <f t="shared" si="5"/>
        <v>490</v>
      </c>
      <c r="I48" s="24">
        <f t="shared" si="6"/>
        <v>44.736842105263158</v>
      </c>
    </row>
    <row r="49" spans="1:9" x14ac:dyDescent="0.2">
      <c r="A49" s="9">
        <v>20</v>
      </c>
      <c r="B49" s="22">
        <f t="shared" si="7"/>
        <v>60</v>
      </c>
      <c r="C49" s="22">
        <f t="shared" si="8"/>
        <v>1200</v>
      </c>
      <c r="D49" s="22">
        <f t="shared" si="1"/>
        <v>850</v>
      </c>
      <c r="E49" s="22">
        <f t="shared" si="2"/>
        <v>350</v>
      </c>
      <c r="F49" s="22">
        <f t="shared" si="3"/>
        <v>0</v>
      </c>
      <c r="G49" s="22">
        <f t="shared" si="4"/>
        <v>850</v>
      </c>
      <c r="H49" s="22">
        <f t="shared" si="5"/>
        <v>350</v>
      </c>
      <c r="I49" s="24">
        <f t="shared" si="6"/>
        <v>42.5</v>
      </c>
    </row>
    <row r="50" spans="1:9" x14ac:dyDescent="0.2">
      <c r="A50" s="9">
        <v>21</v>
      </c>
      <c r="B50" s="22">
        <f t="shared" si="7"/>
        <v>60</v>
      </c>
      <c r="C50" s="22">
        <f t="shared" si="8"/>
        <v>1260</v>
      </c>
      <c r="D50" s="22">
        <f t="shared" si="1"/>
        <v>850</v>
      </c>
      <c r="E50" s="22">
        <f t="shared" si="2"/>
        <v>410</v>
      </c>
      <c r="F50" s="22">
        <f t="shared" si="3"/>
        <v>0</v>
      </c>
      <c r="G50" s="22">
        <f t="shared" si="4"/>
        <v>850</v>
      </c>
      <c r="H50" s="22">
        <f t="shared" si="5"/>
        <v>410</v>
      </c>
      <c r="I50" s="24">
        <f t="shared" si="6"/>
        <v>40.476190476190474</v>
      </c>
    </row>
    <row r="51" spans="1:9" x14ac:dyDescent="0.2">
      <c r="A51" s="9">
        <v>22</v>
      </c>
      <c r="B51" s="22">
        <f t="shared" si="7"/>
        <v>60</v>
      </c>
      <c r="C51" s="22">
        <f t="shared" si="8"/>
        <v>1320</v>
      </c>
      <c r="D51" s="22">
        <f t="shared" si="1"/>
        <v>1100</v>
      </c>
      <c r="E51" s="22">
        <f t="shared" si="2"/>
        <v>470</v>
      </c>
      <c r="F51" s="22">
        <f t="shared" si="3"/>
        <v>0</v>
      </c>
      <c r="G51" s="22">
        <f t="shared" si="4"/>
        <v>850</v>
      </c>
      <c r="H51" s="22">
        <f t="shared" si="5"/>
        <v>470</v>
      </c>
      <c r="I51" s="24">
        <f t="shared" si="6"/>
        <v>50</v>
      </c>
    </row>
    <row r="52" spans="1:9" x14ac:dyDescent="0.2">
      <c r="A52" s="9">
        <v>23</v>
      </c>
      <c r="B52" s="22">
        <f t="shared" si="7"/>
        <v>60</v>
      </c>
      <c r="C52" s="22">
        <f t="shared" si="8"/>
        <v>1380</v>
      </c>
      <c r="D52" s="22">
        <f t="shared" si="1"/>
        <v>1100</v>
      </c>
      <c r="E52" s="22">
        <f t="shared" si="2"/>
        <v>530</v>
      </c>
      <c r="F52" s="22">
        <f t="shared" si="3"/>
        <v>0</v>
      </c>
      <c r="G52" s="22">
        <f t="shared" si="4"/>
        <v>850</v>
      </c>
      <c r="H52" s="22">
        <f t="shared" si="5"/>
        <v>530</v>
      </c>
      <c r="I52" s="24">
        <f t="shared" si="6"/>
        <v>47.826086956521742</v>
      </c>
    </row>
    <row r="53" spans="1:9" x14ac:dyDescent="0.2">
      <c r="A53" s="9">
        <v>24</v>
      </c>
      <c r="B53" s="22">
        <f t="shared" si="7"/>
        <v>60</v>
      </c>
      <c r="C53" s="22">
        <f t="shared" si="8"/>
        <v>1440</v>
      </c>
      <c r="D53" s="22">
        <f t="shared" si="1"/>
        <v>1100</v>
      </c>
      <c r="E53" s="22">
        <f t="shared" si="2"/>
        <v>340</v>
      </c>
      <c r="F53" s="22">
        <f t="shared" si="3"/>
        <v>0</v>
      </c>
      <c r="G53" s="22">
        <f t="shared" si="4"/>
        <v>1100</v>
      </c>
      <c r="H53" s="22">
        <f t="shared" si="5"/>
        <v>340</v>
      </c>
      <c r="I53" s="24">
        <f t="shared" si="6"/>
        <v>45.833333333333336</v>
      </c>
    </row>
    <row r="54" spans="1:9" x14ac:dyDescent="0.2">
      <c r="A54" s="9">
        <v>25</v>
      </c>
      <c r="B54" s="22">
        <f t="shared" si="7"/>
        <v>60</v>
      </c>
      <c r="C54" s="22">
        <f t="shared" si="8"/>
        <v>1500</v>
      </c>
      <c r="D54" s="22">
        <f t="shared" si="1"/>
        <v>1100</v>
      </c>
      <c r="E54" s="22">
        <f t="shared" si="2"/>
        <v>400</v>
      </c>
      <c r="F54" s="22">
        <f t="shared" si="3"/>
        <v>0</v>
      </c>
      <c r="G54" s="22">
        <f t="shared" si="4"/>
        <v>1100</v>
      </c>
      <c r="H54" s="22">
        <f t="shared" si="5"/>
        <v>400</v>
      </c>
      <c r="I54" s="24">
        <f t="shared" si="6"/>
        <v>44</v>
      </c>
    </row>
    <row r="55" spans="1:9" x14ac:dyDescent="0.2">
      <c r="A55" s="9">
        <v>26</v>
      </c>
      <c r="B55" s="22">
        <f t="shared" si="7"/>
        <v>60</v>
      </c>
      <c r="C55" s="22">
        <f t="shared" si="8"/>
        <v>1560</v>
      </c>
      <c r="D55" s="22">
        <f t="shared" si="1"/>
        <v>1350</v>
      </c>
      <c r="E55" s="22">
        <f t="shared" si="2"/>
        <v>460</v>
      </c>
      <c r="F55" s="22">
        <f t="shared" si="3"/>
        <v>0</v>
      </c>
      <c r="G55" s="22">
        <f t="shared" si="4"/>
        <v>1100</v>
      </c>
      <c r="H55" s="22">
        <f t="shared" si="5"/>
        <v>460</v>
      </c>
      <c r="I55" s="24">
        <f t="shared" si="6"/>
        <v>51.92307692307692</v>
      </c>
    </row>
    <row r="56" spans="1:9" x14ac:dyDescent="0.2">
      <c r="A56" s="9">
        <v>27</v>
      </c>
      <c r="B56" s="22">
        <f t="shared" si="7"/>
        <v>60</v>
      </c>
      <c r="C56" s="22">
        <f t="shared" si="8"/>
        <v>1620</v>
      </c>
      <c r="D56" s="22">
        <f t="shared" si="1"/>
        <v>1350</v>
      </c>
      <c r="E56" s="22">
        <f t="shared" si="2"/>
        <v>520</v>
      </c>
      <c r="F56" s="22">
        <f t="shared" si="3"/>
        <v>0</v>
      </c>
      <c r="G56" s="22">
        <f t="shared" si="4"/>
        <v>1100</v>
      </c>
      <c r="H56" s="22">
        <f t="shared" si="5"/>
        <v>520</v>
      </c>
      <c r="I56" s="24">
        <f t="shared" si="6"/>
        <v>50</v>
      </c>
    </row>
    <row r="57" spans="1:9" x14ac:dyDescent="0.2">
      <c r="A57" s="9">
        <v>28</v>
      </c>
      <c r="B57" s="22">
        <f t="shared" si="7"/>
        <v>60</v>
      </c>
      <c r="C57" s="22">
        <f t="shared" si="8"/>
        <v>1680</v>
      </c>
      <c r="D57" s="22">
        <f t="shared" si="1"/>
        <v>1350</v>
      </c>
      <c r="E57" s="22">
        <f t="shared" si="2"/>
        <v>330</v>
      </c>
      <c r="F57" s="22">
        <f t="shared" si="3"/>
        <v>0</v>
      </c>
      <c r="G57" s="22">
        <f t="shared" si="4"/>
        <v>1350</v>
      </c>
      <c r="H57" s="22">
        <f t="shared" si="5"/>
        <v>330</v>
      </c>
      <c r="I57" s="24">
        <f t="shared" si="6"/>
        <v>48.214285714285715</v>
      </c>
    </row>
    <row r="58" spans="1:9" x14ac:dyDescent="0.2">
      <c r="A58" s="9">
        <v>29</v>
      </c>
      <c r="B58" s="22">
        <f t="shared" si="7"/>
        <v>60</v>
      </c>
      <c r="C58" s="22">
        <f t="shared" si="8"/>
        <v>1740</v>
      </c>
      <c r="D58" s="22">
        <f t="shared" si="1"/>
        <v>1350</v>
      </c>
      <c r="E58" s="22">
        <f t="shared" si="2"/>
        <v>390</v>
      </c>
      <c r="F58" s="22">
        <f t="shared" si="3"/>
        <v>0</v>
      </c>
      <c r="G58" s="22">
        <f t="shared" si="4"/>
        <v>1350</v>
      </c>
      <c r="H58" s="22">
        <f t="shared" si="5"/>
        <v>390</v>
      </c>
      <c r="I58" s="24">
        <f t="shared" si="6"/>
        <v>46.551724137931032</v>
      </c>
    </row>
    <row r="59" spans="1:9" x14ac:dyDescent="0.2">
      <c r="A59" s="9">
        <v>30</v>
      </c>
      <c r="B59" s="22">
        <f t="shared" si="7"/>
        <v>60</v>
      </c>
      <c r="C59" s="22">
        <f t="shared" si="8"/>
        <v>1800</v>
      </c>
      <c r="D59" s="22">
        <f t="shared" si="1"/>
        <v>1350</v>
      </c>
      <c r="E59" s="22">
        <f t="shared" si="2"/>
        <v>450</v>
      </c>
      <c r="F59" s="22">
        <f t="shared" si="3"/>
        <v>0</v>
      </c>
      <c r="G59" s="22">
        <f t="shared" si="4"/>
        <v>1350</v>
      </c>
      <c r="H59" s="22">
        <f t="shared" si="5"/>
        <v>450</v>
      </c>
      <c r="I59" s="24">
        <f t="shared" si="6"/>
        <v>45</v>
      </c>
    </row>
    <row r="60" spans="1:9" x14ac:dyDescent="0.2">
      <c r="A60" s="9">
        <v>31</v>
      </c>
      <c r="B60" s="22">
        <f t="shared" si="7"/>
        <v>60</v>
      </c>
      <c r="C60" s="22">
        <f t="shared" si="8"/>
        <v>1860</v>
      </c>
      <c r="D60" s="22">
        <f t="shared" si="1"/>
        <v>1350</v>
      </c>
      <c r="E60" s="22">
        <f t="shared" si="2"/>
        <v>510</v>
      </c>
      <c r="F60" s="22">
        <f t="shared" si="3"/>
        <v>0</v>
      </c>
      <c r="G60" s="22">
        <f t="shared" si="4"/>
        <v>1350</v>
      </c>
      <c r="H60" s="22">
        <f t="shared" si="5"/>
        <v>510</v>
      </c>
      <c r="I60" s="24">
        <f t="shared" si="6"/>
        <v>43.548387096774192</v>
      </c>
    </row>
    <row r="61" spans="1:9" x14ac:dyDescent="0.2">
      <c r="A61" s="9">
        <v>32</v>
      </c>
      <c r="B61" s="22">
        <f t="shared" si="7"/>
        <v>60</v>
      </c>
      <c r="C61" s="22">
        <f t="shared" si="8"/>
        <v>1920</v>
      </c>
      <c r="D61" s="22">
        <f t="shared" si="1"/>
        <v>1850</v>
      </c>
      <c r="E61" s="22">
        <f t="shared" si="2"/>
        <v>570</v>
      </c>
      <c r="F61" s="22">
        <f t="shared" si="3"/>
        <v>0</v>
      </c>
      <c r="G61" s="22">
        <f t="shared" si="4"/>
        <v>1350</v>
      </c>
      <c r="H61" s="22">
        <f t="shared" si="5"/>
        <v>570</v>
      </c>
      <c r="I61" s="24">
        <f t="shared" si="6"/>
        <v>57.8125</v>
      </c>
    </row>
    <row r="62" spans="1:9" x14ac:dyDescent="0.2">
      <c r="A62" s="9">
        <v>33</v>
      </c>
      <c r="B62" s="22">
        <f t="shared" si="7"/>
        <v>60</v>
      </c>
      <c r="C62" s="22">
        <f t="shared" si="8"/>
        <v>1980</v>
      </c>
      <c r="D62" s="22">
        <f t="shared" ref="D62:D81" si="9">SUMIF($B$10:$B$17,"&lt;="&amp;(A62+$B$5),$C$10:$C$17)</f>
        <v>1850</v>
      </c>
      <c r="E62" s="22">
        <f t="shared" ref="E62:E81" si="10">MAX(0,C62-SUMIF($B$10:$B$17,"&lt;="&amp;A62,$C$10:$C$17))</f>
        <v>630</v>
      </c>
      <c r="F62" s="22">
        <f t="shared" ref="F62:F81" si="11">MAX(0,D62-C62)</f>
        <v>0</v>
      </c>
      <c r="G62" s="22">
        <f t="shared" ref="G62:G81" si="12">SUMIF($D$10:$D$17,"&lt;="&amp;A62,$C$10:$C$17)</f>
        <v>1350</v>
      </c>
      <c r="H62" s="22">
        <f t="shared" ref="H62:H93" si="13">MAX(0,C62-G62)</f>
        <v>630</v>
      </c>
      <c r="I62" s="24">
        <f t="shared" ref="I62:I81" si="14">D62/A62</f>
        <v>56.060606060606062</v>
      </c>
    </row>
    <row r="63" spans="1:9" x14ac:dyDescent="0.2">
      <c r="A63" s="9">
        <v>34</v>
      </c>
      <c r="B63" s="22">
        <f t="shared" ref="B63:B81" si="15">MIN($B$4,MAX(0,$C$19-C62))</f>
        <v>60</v>
      </c>
      <c r="C63" s="22">
        <f t="shared" ref="C63:C94" si="16">C62+B63</f>
        <v>2040</v>
      </c>
      <c r="D63" s="22">
        <f t="shared" si="9"/>
        <v>1850</v>
      </c>
      <c r="E63" s="22">
        <f t="shared" si="10"/>
        <v>190</v>
      </c>
      <c r="F63" s="22">
        <f t="shared" si="11"/>
        <v>0</v>
      </c>
      <c r="G63" s="22">
        <f t="shared" si="12"/>
        <v>1350</v>
      </c>
      <c r="H63" s="22">
        <f t="shared" si="13"/>
        <v>690</v>
      </c>
      <c r="I63" s="24">
        <f t="shared" si="14"/>
        <v>54.411764705882355</v>
      </c>
    </row>
    <row r="64" spans="1:9" x14ac:dyDescent="0.2">
      <c r="A64" s="9">
        <v>35</v>
      </c>
      <c r="B64" s="22">
        <f t="shared" si="15"/>
        <v>60</v>
      </c>
      <c r="C64" s="22">
        <f t="shared" si="16"/>
        <v>2100</v>
      </c>
      <c r="D64" s="22">
        <f t="shared" si="9"/>
        <v>1850</v>
      </c>
      <c r="E64" s="22">
        <f t="shared" si="10"/>
        <v>250</v>
      </c>
      <c r="F64" s="22">
        <f t="shared" si="11"/>
        <v>0</v>
      </c>
      <c r="G64" s="22">
        <f t="shared" si="12"/>
        <v>1350</v>
      </c>
      <c r="H64" s="22">
        <f t="shared" si="13"/>
        <v>750</v>
      </c>
      <c r="I64" s="24">
        <f t="shared" si="14"/>
        <v>52.857142857142854</v>
      </c>
    </row>
    <row r="65" spans="1:9" x14ac:dyDescent="0.2">
      <c r="A65" s="9">
        <v>36</v>
      </c>
      <c r="B65" s="22">
        <f t="shared" si="15"/>
        <v>50</v>
      </c>
      <c r="C65" s="22">
        <f t="shared" si="16"/>
        <v>2150</v>
      </c>
      <c r="D65" s="22">
        <f t="shared" si="9"/>
        <v>1850</v>
      </c>
      <c r="E65" s="22">
        <f t="shared" si="10"/>
        <v>300</v>
      </c>
      <c r="F65" s="22">
        <f t="shared" si="11"/>
        <v>0</v>
      </c>
      <c r="G65" s="22">
        <f t="shared" si="12"/>
        <v>1350</v>
      </c>
      <c r="H65" s="22">
        <f t="shared" si="13"/>
        <v>800</v>
      </c>
      <c r="I65" s="24">
        <f t="shared" si="14"/>
        <v>51.388888888888886</v>
      </c>
    </row>
    <row r="66" spans="1:9" x14ac:dyDescent="0.2">
      <c r="A66" s="9">
        <v>37</v>
      </c>
      <c r="B66" s="22">
        <f t="shared" si="15"/>
        <v>0</v>
      </c>
      <c r="C66" s="22">
        <f t="shared" si="16"/>
        <v>2150</v>
      </c>
      <c r="D66" s="22">
        <f t="shared" si="9"/>
        <v>1850</v>
      </c>
      <c r="E66" s="22">
        <f t="shared" si="10"/>
        <v>300</v>
      </c>
      <c r="F66" s="22">
        <f t="shared" si="11"/>
        <v>0</v>
      </c>
      <c r="G66" s="22">
        <f t="shared" si="12"/>
        <v>1350</v>
      </c>
      <c r="H66" s="22">
        <f t="shared" si="13"/>
        <v>800</v>
      </c>
      <c r="I66" s="24">
        <f t="shared" si="14"/>
        <v>50</v>
      </c>
    </row>
    <row r="67" spans="1:9" x14ac:dyDescent="0.2">
      <c r="A67" s="9">
        <v>38</v>
      </c>
      <c r="B67" s="22">
        <f t="shared" si="15"/>
        <v>0</v>
      </c>
      <c r="C67" s="22">
        <f t="shared" si="16"/>
        <v>2150</v>
      </c>
      <c r="D67" s="22">
        <f t="shared" si="9"/>
        <v>1850</v>
      </c>
      <c r="E67" s="22">
        <f t="shared" si="10"/>
        <v>300</v>
      </c>
      <c r="F67" s="22">
        <f t="shared" si="11"/>
        <v>0</v>
      </c>
      <c r="G67" s="22">
        <f t="shared" si="12"/>
        <v>1350</v>
      </c>
      <c r="H67" s="22">
        <f t="shared" si="13"/>
        <v>800</v>
      </c>
      <c r="I67" s="24">
        <f t="shared" si="14"/>
        <v>48.684210526315788</v>
      </c>
    </row>
    <row r="68" spans="1:9" x14ac:dyDescent="0.2">
      <c r="A68" s="9">
        <v>39</v>
      </c>
      <c r="B68" s="22">
        <f t="shared" si="15"/>
        <v>0</v>
      </c>
      <c r="C68" s="22">
        <f t="shared" si="16"/>
        <v>2150</v>
      </c>
      <c r="D68" s="22">
        <f t="shared" si="9"/>
        <v>1850</v>
      </c>
      <c r="E68" s="22">
        <f t="shared" si="10"/>
        <v>300</v>
      </c>
      <c r="F68" s="22">
        <f t="shared" si="11"/>
        <v>0</v>
      </c>
      <c r="G68" s="22">
        <f t="shared" si="12"/>
        <v>1350</v>
      </c>
      <c r="H68" s="22">
        <f t="shared" si="13"/>
        <v>800</v>
      </c>
      <c r="I68" s="24">
        <f t="shared" si="14"/>
        <v>47.435897435897438</v>
      </c>
    </row>
    <row r="69" spans="1:9" x14ac:dyDescent="0.2">
      <c r="A69" s="9">
        <v>40</v>
      </c>
      <c r="B69" s="22">
        <f t="shared" si="15"/>
        <v>0</v>
      </c>
      <c r="C69" s="22">
        <f t="shared" si="16"/>
        <v>2150</v>
      </c>
      <c r="D69" s="22">
        <f t="shared" si="9"/>
        <v>1850</v>
      </c>
      <c r="E69" s="22">
        <f t="shared" si="10"/>
        <v>300</v>
      </c>
      <c r="F69" s="22">
        <f t="shared" si="11"/>
        <v>0</v>
      </c>
      <c r="G69" s="22">
        <f t="shared" si="12"/>
        <v>1350</v>
      </c>
      <c r="H69" s="22">
        <f t="shared" si="13"/>
        <v>800</v>
      </c>
      <c r="I69" s="24">
        <f t="shared" si="14"/>
        <v>46.25</v>
      </c>
    </row>
    <row r="70" spans="1:9" x14ac:dyDescent="0.2">
      <c r="A70" s="9">
        <v>41</v>
      </c>
      <c r="B70" s="22">
        <f t="shared" si="15"/>
        <v>0</v>
      </c>
      <c r="C70" s="22">
        <f t="shared" si="16"/>
        <v>2150</v>
      </c>
      <c r="D70" s="22">
        <f t="shared" si="9"/>
        <v>1850</v>
      </c>
      <c r="E70" s="22">
        <f t="shared" si="10"/>
        <v>300</v>
      </c>
      <c r="F70" s="22">
        <f t="shared" si="11"/>
        <v>0</v>
      </c>
      <c r="G70" s="22">
        <f t="shared" si="12"/>
        <v>1350</v>
      </c>
      <c r="H70" s="22">
        <f t="shared" si="13"/>
        <v>800</v>
      </c>
      <c r="I70" s="24">
        <f t="shared" si="14"/>
        <v>45.121951219512198</v>
      </c>
    </row>
    <row r="71" spans="1:9" x14ac:dyDescent="0.2">
      <c r="A71" s="9">
        <v>42</v>
      </c>
      <c r="B71" s="22">
        <f t="shared" si="15"/>
        <v>0</v>
      </c>
      <c r="C71" s="22">
        <f t="shared" si="16"/>
        <v>2150</v>
      </c>
      <c r="D71" s="22">
        <f t="shared" si="9"/>
        <v>2150</v>
      </c>
      <c r="E71" s="22">
        <f t="shared" si="10"/>
        <v>300</v>
      </c>
      <c r="F71" s="22">
        <f t="shared" si="11"/>
        <v>0</v>
      </c>
      <c r="G71" s="22">
        <f t="shared" si="12"/>
        <v>1850</v>
      </c>
      <c r="H71" s="22">
        <f t="shared" si="13"/>
        <v>300</v>
      </c>
      <c r="I71" s="24">
        <f t="shared" si="14"/>
        <v>51.19047619047619</v>
      </c>
    </row>
    <row r="72" spans="1:9" x14ac:dyDescent="0.2">
      <c r="A72" s="9">
        <v>43</v>
      </c>
      <c r="B72" s="22">
        <f t="shared" si="15"/>
        <v>0</v>
      </c>
      <c r="C72" s="22">
        <f t="shared" si="16"/>
        <v>2150</v>
      </c>
      <c r="D72" s="22">
        <f t="shared" si="9"/>
        <v>2150</v>
      </c>
      <c r="E72" s="22">
        <f t="shared" si="10"/>
        <v>300</v>
      </c>
      <c r="F72" s="22">
        <f t="shared" si="11"/>
        <v>0</v>
      </c>
      <c r="G72" s="22">
        <f t="shared" si="12"/>
        <v>1850</v>
      </c>
      <c r="H72" s="22">
        <f t="shared" si="13"/>
        <v>300</v>
      </c>
      <c r="I72" s="24">
        <f t="shared" si="14"/>
        <v>50</v>
      </c>
    </row>
    <row r="73" spans="1:9" x14ac:dyDescent="0.2">
      <c r="A73" s="9">
        <v>44</v>
      </c>
      <c r="B73" s="22">
        <f t="shared" si="15"/>
        <v>0</v>
      </c>
      <c r="C73" s="22">
        <f t="shared" si="16"/>
        <v>2150</v>
      </c>
      <c r="D73" s="22">
        <f t="shared" si="9"/>
        <v>2150</v>
      </c>
      <c r="E73" s="22">
        <f t="shared" si="10"/>
        <v>0</v>
      </c>
      <c r="F73" s="22">
        <f t="shared" si="11"/>
        <v>0</v>
      </c>
      <c r="G73" s="22">
        <f t="shared" si="12"/>
        <v>2150</v>
      </c>
      <c r="H73" s="22">
        <f t="shared" si="13"/>
        <v>0</v>
      </c>
      <c r="I73" s="24">
        <f t="shared" si="14"/>
        <v>48.863636363636367</v>
      </c>
    </row>
    <row r="74" spans="1:9" x14ac:dyDescent="0.2">
      <c r="A74" s="9">
        <v>45</v>
      </c>
      <c r="B74" s="22">
        <f t="shared" si="15"/>
        <v>0</v>
      </c>
      <c r="C74" s="22">
        <f t="shared" si="16"/>
        <v>2150</v>
      </c>
      <c r="D74" s="22">
        <f t="shared" si="9"/>
        <v>2150</v>
      </c>
      <c r="E74" s="22">
        <f t="shared" si="10"/>
        <v>0</v>
      </c>
      <c r="F74" s="22">
        <f t="shared" si="11"/>
        <v>0</v>
      </c>
      <c r="G74" s="22">
        <f t="shared" si="12"/>
        <v>2150</v>
      </c>
      <c r="H74" s="22">
        <f t="shared" si="13"/>
        <v>0</v>
      </c>
      <c r="I74" s="24">
        <f t="shared" si="14"/>
        <v>47.777777777777779</v>
      </c>
    </row>
    <row r="75" spans="1:9" x14ac:dyDescent="0.2">
      <c r="A75" s="9">
        <v>46</v>
      </c>
      <c r="B75" s="22">
        <f t="shared" si="15"/>
        <v>0</v>
      </c>
      <c r="C75" s="22">
        <f t="shared" si="16"/>
        <v>2150</v>
      </c>
      <c r="D75" s="22">
        <f t="shared" si="9"/>
        <v>2150</v>
      </c>
      <c r="E75" s="22">
        <f t="shared" si="10"/>
        <v>0</v>
      </c>
      <c r="F75" s="22">
        <f t="shared" si="11"/>
        <v>0</v>
      </c>
      <c r="G75" s="22">
        <f t="shared" si="12"/>
        <v>2150</v>
      </c>
      <c r="H75" s="22">
        <f t="shared" si="13"/>
        <v>0</v>
      </c>
      <c r="I75" s="24">
        <f t="shared" si="14"/>
        <v>46.739130434782609</v>
      </c>
    </row>
    <row r="76" spans="1:9" x14ac:dyDescent="0.2">
      <c r="A76" s="9">
        <v>47</v>
      </c>
      <c r="B76" s="22">
        <f t="shared" si="15"/>
        <v>0</v>
      </c>
      <c r="C76" s="22">
        <f t="shared" si="16"/>
        <v>2150</v>
      </c>
      <c r="D76" s="22">
        <f t="shared" si="9"/>
        <v>2150</v>
      </c>
      <c r="E76" s="22">
        <f t="shared" si="10"/>
        <v>0</v>
      </c>
      <c r="F76" s="22">
        <f t="shared" si="11"/>
        <v>0</v>
      </c>
      <c r="G76" s="22">
        <f t="shared" si="12"/>
        <v>2150</v>
      </c>
      <c r="H76" s="22">
        <f t="shared" si="13"/>
        <v>0</v>
      </c>
      <c r="I76" s="24">
        <f t="shared" si="14"/>
        <v>45.744680851063826</v>
      </c>
    </row>
    <row r="77" spans="1:9" x14ac:dyDescent="0.2">
      <c r="A77" s="9">
        <v>48</v>
      </c>
      <c r="B77" s="22">
        <f t="shared" si="15"/>
        <v>0</v>
      </c>
      <c r="C77" s="22">
        <f t="shared" si="16"/>
        <v>2150</v>
      </c>
      <c r="D77" s="22">
        <f t="shared" si="9"/>
        <v>2150</v>
      </c>
      <c r="E77" s="22">
        <f t="shared" si="10"/>
        <v>0</v>
      </c>
      <c r="F77" s="22">
        <f t="shared" si="11"/>
        <v>0</v>
      </c>
      <c r="G77" s="22">
        <f t="shared" si="12"/>
        <v>2150</v>
      </c>
      <c r="H77" s="22">
        <f t="shared" si="13"/>
        <v>0</v>
      </c>
      <c r="I77" s="24">
        <f t="shared" si="14"/>
        <v>44.791666666666664</v>
      </c>
    </row>
    <row r="78" spans="1:9" x14ac:dyDescent="0.2">
      <c r="A78" s="9">
        <v>49</v>
      </c>
      <c r="B78" s="22">
        <f t="shared" si="15"/>
        <v>0</v>
      </c>
      <c r="C78" s="22">
        <f t="shared" si="16"/>
        <v>2150</v>
      </c>
      <c r="D78" s="22">
        <f t="shared" si="9"/>
        <v>2150</v>
      </c>
      <c r="E78" s="22">
        <f t="shared" si="10"/>
        <v>0</v>
      </c>
      <c r="F78" s="22">
        <f t="shared" si="11"/>
        <v>0</v>
      </c>
      <c r="G78" s="22">
        <f t="shared" si="12"/>
        <v>2150</v>
      </c>
      <c r="H78" s="22">
        <f t="shared" si="13"/>
        <v>0</v>
      </c>
      <c r="I78" s="24">
        <f t="shared" si="14"/>
        <v>43.877551020408163</v>
      </c>
    </row>
    <row r="79" spans="1:9" x14ac:dyDescent="0.2">
      <c r="A79" s="9">
        <v>50</v>
      </c>
      <c r="B79" s="22">
        <f t="shared" si="15"/>
        <v>0</v>
      </c>
      <c r="C79" s="22">
        <f t="shared" si="16"/>
        <v>2150</v>
      </c>
      <c r="D79" s="22">
        <f t="shared" si="9"/>
        <v>2150</v>
      </c>
      <c r="E79" s="22">
        <f t="shared" si="10"/>
        <v>0</v>
      </c>
      <c r="F79" s="22">
        <f t="shared" si="11"/>
        <v>0</v>
      </c>
      <c r="G79" s="22">
        <f t="shared" si="12"/>
        <v>2150</v>
      </c>
      <c r="H79" s="22">
        <f t="shared" si="13"/>
        <v>0</v>
      </c>
      <c r="I79" s="24">
        <f t="shared" si="14"/>
        <v>43</v>
      </c>
    </row>
    <row r="80" spans="1:9" x14ac:dyDescent="0.2">
      <c r="A80" s="9">
        <v>51</v>
      </c>
      <c r="B80" s="22">
        <f t="shared" si="15"/>
        <v>0</v>
      </c>
      <c r="C80" s="22">
        <f t="shared" si="16"/>
        <v>2150</v>
      </c>
      <c r="D80" s="22">
        <f t="shared" si="9"/>
        <v>2150</v>
      </c>
      <c r="E80" s="22">
        <f t="shared" si="10"/>
        <v>0</v>
      </c>
      <c r="F80" s="22">
        <f t="shared" si="11"/>
        <v>0</v>
      </c>
      <c r="G80" s="22">
        <f t="shared" si="12"/>
        <v>2150</v>
      </c>
      <c r="H80" s="22">
        <f t="shared" si="13"/>
        <v>0</v>
      </c>
      <c r="I80" s="24">
        <f t="shared" si="14"/>
        <v>42.156862745098039</v>
      </c>
    </row>
    <row r="81" spans="1:9" x14ac:dyDescent="0.2">
      <c r="A81" s="9">
        <v>52</v>
      </c>
      <c r="B81" s="22">
        <f t="shared" si="15"/>
        <v>0</v>
      </c>
      <c r="C81" s="22">
        <f t="shared" si="16"/>
        <v>2150</v>
      </c>
      <c r="D81" s="22">
        <f t="shared" si="9"/>
        <v>2150</v>
      </c>
      <c r="E81" s="22">
        <f t="shared" si="10"/>
        <v>0</v>
      </c>
      <c r="F81" s="22">
        <f t="shared" si="11"/>
        <v>0</v>
      </c>
      <c r="G81" s="22">
        <f t="shared" si="12"/>
        <v>2150</v>
      </c>
      <c r="H81" s="22">
        <f t="shared" si="13"/>
        <v>0</v>
      </c>
      <c r="I81" s="24">
        <f t="shared" si="14"/>
        <v>41.346153846153847</v>
      </c>
    </row>
  </sheetData>
  <pageMargins left="0.75" right="0.75" top="1" bottom="1" header="0.5" footer="0.5"/>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8"/>
  <sheetViews>
    <sheetView showGridLines="0" workbookViewId="0"/>
  </sheetViews>
  <sheetFormatPr baseColWidth="10" defaultColWidth="8.83203125" defaultRowHeight="15" x14ac:dyDescent="0.2"/>
  <cols>
    <col min="1" max="1" width="40" customWidth="1"/>
    <col min="2" max="3" width="16" customWidth="1"/>
    <col min="4" max="4" width="60" customWidth="1"/>
    <col min="5" max="5" width="22" customWidth="1"/>
  </cols>
  <sheetData>
    <row r="1" spans="1:5" ht="18" x14ac:dyDescent="0.2">
      <c r="A1" s="1" t="s">
        <v>101</v>
      </c>
    </row>
    <row r="2" spans="1:5" x14ac:dyDescent="0.2">
      <c r="A2" s="2" t="s">
        <v>102</v>
      </c>
    </row>
    <row r="4" spans="1:5" x14ac:dyDescent="0.2">
      <c r="A4" s="5" t="s">
        <v>103</v>
      </c>
      <c r="B4" s="5" t="s">
        <v>30</v>
      </c>
      <c r="C4" s="5" t="s">
        <v>31</v>
      </c>
      <c r="D4" s="5" t="s">
        <v>70</v>
      </c>
    </row>
    <row r="5" spans="1:5" x14ac:dyDescent="0.2">
      <c r="A5" s="6" t="s">
        <v>104</v>
      </c>
      <c r="B5" s="10">
        <v>20</v>
      </c>
      <c r="C5" s="6" t="s">
        <v>105</v>
      </c>
      <c r="D5" s="20" t="s">
        <v>106</v>
      </c>
    </row>
    <row r="6" spans="1:5" x14ac:dyDescent="0.2">
      <c r="A6" s="6" t="s">
        <v>107</v>
      </c>
      <c r="B6" s="10">
        <v>8</v>
      </c>
      <c r="C6" s="6" t="s">
        <v>108</v>
      </c>
      <c r="D6" s="20" t="s">
        <v>49</v>
      </c>
    </row>
    <row r="7" spans="1:5" x14ac:dyDescent="0.2">
      <c r="A7" s="6" t="s">
        <v>109</v>
      </c>
      <c r="B7" s="25">
        <v>0.85</v>
      </c>
      <c r="C7" s="6" t="s">
        <v>110</v>
      </c>
      <c r="D7" s="20" t="s">
        <v>49</v>
      </c>
    </row>
    <row r="8" spans="1:5" x14ac:dyDescent="0.2">
      <c r="A8" s="6" t="s">
        <v>111</v>
      </c>
      <c r="B8" s="10">
        <v>5</v>
      </c>
      <c r="C8" s="6" t="s">
        <v>48</v>
      </c>
      <c r="D8" s="20" t="s">
        <v>49</v>
      </c>
    </row>
    <row r="9" spans="1:5" x14ac:dyDescent="0.2">
      <c r="A9" s="11" t="s">
        <v>112</v>
      </c>
      <c r="B9" s="12">
        <f>B6*Inputs!B10*B7</f>
        <v>34</v>
      </c>
    </row>
    <row r="11" spans="1:5" ht="32" customHeight="1" x14ac:dyDescent="0.2">
      <c r="A11" s="5" t="s">
        <v>113</v>
      </c>
      <c r="B11" s="5" t="s">
        <v>114</v>
      </c>
      <c r="C11" s="5" t="s">
        <v>115</v>
      </c>
      <c r="D11" s="5" t="s">
        <v>116</v>
      </c>
      <c r="E11" s="5" t="s">
        <v>117</v>
      </c>
    </row>
    <row r="12" spans="1:5" x14ac:dyDescent="0.2">
      <c r="A12" s="6" t="s">
        <v>118</v>
      </c>
      <c r="B12" s="21">
        <f>Inputs!B9*Inputs!B10</f>
        <v>5</v>
      </c>
      <c r="C12" s="24">
        <f>B12*$B$5/60</f>
        <v>1.6666666666666667</v>
      </c>
      <c r="D12" s="24">
        <f>C12/$B$9</f>
        <v>4.9019607843137254E-2</v>
      </c>
      <c r="E12" s="22">
        <f>B12/Inputs!$B$10*$B$8</f>
        <v>5</v>
      </c>
    </row>
    <row r="13" spans="1:5" x14ac:dyDescent="0.2">
      <c r="A13" s="6" t="s">
        <v>53</v>
      </c>
      <c r="B13" s="21">
        <f>Inputs!B14</f>
        <v>48.07692307692308</v>
      </c>
      <c r="C13" s="24">
        <f>B13*$B$5/60</f>
        <v>16.025641025641029</v>
      </c>
      <c r="D13" s="24">
        <f>C13/$B$9</f>
        <v>0.47134238310708909</v>
      </c>
      <c r="E13" s="22">
        <f>B13/Inputs!$B$10*$B$8</f>
        <v>48.07692307692308</v>
      </c>
    </row>
    <row r="14" spans="1:5" x14ac:dyDescent="0.2">
      <c r="A14" s="6" t="s">
        <v>119</v>
      </c>
      <c r="B14" s="21">
        <f>'Build vs Deploy'!B4</f>
        <v>60</v>
      </c>
      <c r="C14" s="24">
        <f>B14*$B$5/60</f>
        <v>20</v>
      </c>
      <c r="D14" s="24">
        <f>C14/$B$9</f>
        <v>0.58823529411764708</v>
      </c>
      <c r="E14" s="22">
        <f>B14/Inputs!$B$10*$B$8</f>
        <v>60</v>
      </c>
    </row>
    <row r="15" spans="1:5" x14ac:dyDescent="0.2">
      <c r="A15" s="6" t="s">
        <v>120</v>
      </c>
      <c r="B15" s="21">
        <f>Inputs!B6</f>
        <v>100</v>
      </c>
      <c r="C15" s="24">
        <f>B15*$B$5/60</f>
        <v>33.333333333333336</v>
      </c>
      <c r="D15" s="24">
        <f>C15/$B$9</f>
        <v>0.98039215686274517</v>
      </c>
      <c r="E15" s="22">
        <f>B15/Inputs!$B$10*$B$8</f>
        <v>100</v>
      </c>
    </row>
    <row r="16" spans="1:5" x14ac:dyDescent="0.2">
      <c r="A16" s="6" t="s">
        <v>121</v>
      </c>
      <c r="B16" s="21">
        <f>Inputs!B7/52</f>
        <v>192.30769230769232</v>
      </c>
      <c r="C16" s="24">
        <f>B16*$B$5/60</f>
        <v>64.102564102564116</v>
      </c>
      <c r="D16" s="24">
        <f>C16/$B$9</f>
        <v>1.8853695324283564</v>
      </c>
      <c r="E16" s="22">
        <f>B16/Inputs!$B$10*$B$8</f>
        <v>192.30769230769232</v>
      </c>
    </row>
    <row r="18" spans="1:1" x14ac:dyDescent="0.2">
      <c r="A18" s="23" t="s">
        <v>122</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README</vt:lpstr>
      <vt:lpstr>Inputs</vt:lpstr>
      <vt:lpstr>Build vs Deploy</vt:lpstr>
      <vt:lpstr>Line and Material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Tristan Massicotte</cp:lastModifiedBy>
  <dcterms:created xsi:type="dcterms:W3CDTF">2026-11-01T20:18:33Z</dcterms:created>
  <dcterms:modified xsi:type="dcterms:W3CDTF">2026-11-01T20:18:34Z</dcterms:modified>
</cp:coreProperties>
</file>